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koninklijkebrillnv-my.sharepoint.com/personal/marijn_vandergaag_brill_com/Documents/Documents/JAAN (PC)/1 redactie/JAAN-1003/"/>
    </mc:Choice>
  </mc:AlternateContent>
  <xr:revisionPtr revIDLastSave="4" documentId="11_F6F3E6B3A73CCA3504EB19BEC1AB5DB99D654AC5" xr6:coauthVersionLast="47" xr6:coauthVersionMax="47" xr10:uidLastSave="{3D14D0C8-9C6E-4161-B5B6-5890C5A894AB}"/>
  <bookViews>
    <workbookView xWindow="4128" yWindow="480" windowWidth="26880" windowHeight="15600" tabRatio="847" activeTab="1" xr2:uid="{00000000-000D-0000-FFFF-FFFF00000000}"/>
  </bookViews>
  <sheets>
    <sheet name="instructions" sheetId="1" r:id="rId1"/>
    <sheet name="statistics" sheetId="2" r:id="rId2"/>
    <sheet name="11x1 SoyExMeal9B" sheetId="50" r:id="rId3"/>
    <sheet name="11x1 SoyExMeal8B" sheetId="48" r:id="rId4"/>
    <sheet name="11x1 SoyExMeal7B" sheetId="47" r:id="rId5"/>
    <sheet name="11x1 SoyExMeal6B " sheetId="46" r:id="rId6"/>
    <sheet name="11x1 SoyExMeal5 B" sheetId="45" r:id="rId7"/>
    <sheet name="11x1 SoyExMeal4 B" sheetId="44" r:id="rId8"/>
    <sheet name="11x1 SoyExMeal3 B" sheetId="37" r:id="rId9"/>
    <sheet name="11x1 SoyExMeal2 B" sheetId="22" r:id="rId10"/>
    <sheet name="11x1 SoyExMeal1 B" sheetId="21" r:id="rId11"/>
    <sheet name="11x1 grass silage" sheetId="51" r:id="rId12"/>
    <sheet name="11x1 brewers grain B" sheetId="5" r:id="rId13"/>
    <sheet name="11x1 brewers grain Y" sheetId="6" r:id="rId14"/>
    <sheet name="11x1 PelCompoundChick B" sheetId="7" r:id="rId15"/>
    <sheet name="11x1 grain meal1 B" sheetId="8" r:id="rId16"/>
    <sheet name="11x1 grain meal1 Y" sheetId="9" r:id="rId17"/>
    <sheet name="10x2 maize silage Y" sheetId="10" r:id="rId18"/>
    <sheet name="10x2 maize silage B" sheetId="11" r:id="rId19"/>
    <sheet name="11x1 BARF1 E" sheetId="12" r:id="rId20"/>
    <sheet name="11x1 BARF2 E" sheetId="13" r:id="rId21"/>
    <sheet name="10x2 hay1 B" sheetId="14" r:id="rId22"/>
    <sheet name="10x2 hay1 Y" sheetId="15" r:id="rId23"/>
    <sheet name="10x2 hay1 M" sheetId="16" r:id="rId24"/>
    <sheet name="10x2 hay2 B" sheetId="17" r:id="rId25"/>
    <sheet name="10x2 hay2 F" sheetId="18" r:id="rId26"/>
    <sheet name="11x1 grain flour B" sheetId="19" r:id="rId27"/>
    <sheet name="11x1 grain flour F" sheetId="20" r:id="rId28"/>
    <sheet name="11x1 chew toy1 B" sheetId="23" r:id="rId29"/>
    <sheet name="11x1 chew toy2 B" sheetId="24" r:id="rId30"/>
    <sheet name="11x1 straw B" sheetId="25" r:id="rId31"/>
    <sheet name="11x1 complete feed pigs B" sheetId="26" r:id="rId32"/>
    <sheet name="11x1 grain meal2 B" sheetId="27" r:id="rId33"/>
    <sheet name="11x1 grain meal2 M" sheetId="28" r:id="rId34"/>
    <sheet name="10x2 rye B" sheetId="29" r:id="rId35"/>
    <sheet name="10x2 oats B" sheetId="30" r:id="rId36"/>
    <sheet name="10x2 oats F" sheetId="31" r:id="rId37"/>
    <sheet name="10x2 barley B" sheetId="32" r:id="rId38"/>
    <sheet name="10x2 barley Y" sheetId="33" r:id="rId39"/>
    <sheet name="10x2 barley M" sheetId="34" r:id="rId40"/>
    <sheet name="11x1 malt sprouts B" sheetId="35" r:id="rId41"/>
    <sheet name="11x1 RapeExMeal B" sheetId="36" r:id="rId42"/>
    <sheet name="11x1 liquid feed B" sheetId="38" r:id="rId43"/>
    <sheet name="10x2 wheat B" sheetId="39" r:id="rId44"/>
    <sheet name="10x2 wheat M" sheetId="40" r:id="rId45"/>
    <sheet name="10x2 wheat Y" sheetId="41" r:id="rId46"/>
    <sheet name="10x2 sunflower F" sheetId="42" r:id="rId47"/>
    <sheet name="10x2 sunflower B" sheetId="43" r:id="rId48"/>
  </sheets>
  <definedNames>
    <definedName name="_xlnm._FilterDatabase" localSheetId="1" hidden="1">statistics!$B$9:$G$32</definedName>
    <definedName name="_xlnm.Print_Area" localSheetId="37">'10x2 barley B'!$A$1:$O$45</definedName>
    <definedName name="_xlnm.Print_Area" localSheetId="39">'10x2 barley M'!$A$1:$O$45</definedName>
    <definedName name="_xlnm.Print_Area" localSheetId="38">'10x2 barley Y'!$A$1:$O$45</definedName>
    <definedName name="_xlnm.Print_Area" localSheetId="21">'10x2 hay1 B'!$A$1:$O$45</definedName>
    <definedName name="_xlnm.Print_Area" localSheetId="23">'10x2 hay1 M'!$A$1:$O$45</definedName>
    <definedName name="_xlnm.Print_Area" localSheetId="22">'10x2 hay1 Y'!$A$1:$O$45</definedName>
    <definedName name="_xlnm.Print_Area" localSheetId="24">'10x2 hay2 B'!$A$1:$O$45</definedName>
    <definedName name="_xlnm.Print_Area" localSheetId="25">'10x2 hay2 F'!$A$1:$O$45</definedName>
    <definedName name="_xlnm.Print_Area" localSheetId="18">'10x2 maize silage B'!$A$1:$O$45</definedName>
    <definedName name="_xlnm.Print_Area" localSheetId="17">'10x2 maize silage Y'!$A$1:$O$45</definedName>
    <definedName name="_xlnm.Print_Area" localSheetId="35">'10x2 oats B'!$A$1:$O$45</definedName>
    <definedName name="_xlnm.Print_Area" localSheetId="36">'10x2 oats F'!$A$1:$O$45</definedName>
    <definedName name="_xlnm.Print_Area" localSheetId="34">'10x2 rye B'!$A$1:$O$45</definedName>
    <definedName name="_xlnm.Print_Area" localSheetId="47">'10x2 sunflower B'!$A$1:$O$45</definedName>
    <definedName name="_xlnm.Print_Area" localSheetId="46">'10x2 sunflower F'!$A$1:$O$45</definedName>
    <definedName name="_xlnm.Print_Area" localSheetId="43">'10x2 wheat B'!$A$1:$O$45</definedName>
    <definedName name="_xlnm.Print_Area" localSheetId="44">'10x2 wheat M'!$A$1:$O$45</definedName>
    <definedName name="_xlnm.Print_Area" localSheetId="45">'10x2 wheat Y'!$A$1:$O$45</definedName>
    <definedName name="_xlnm.Print_Area" localSheetId="0">instructions!$A$1:$M$31</definedName>
    <definedName name="Z_FE58DACD_0759_49AE_B802_24C56E0F01FD_.wvu.FilterData" localSheetId="1" hidden="1">statistics!$B$9:$G$32</definedName>
    <definedName name="Z_FE58DACD_0759_49AE_B802_24C56E0F01FD_.wvu.PrintArea" localSheetId="37" hidden="1">'10x2 barley B'!$A$1:$M$45</definedName>
    <definedName name="Z_FE58DACD_0759_49AE_B802_24C56E0F01FD_.wvu.PrintArea" localSheetId="39" hidden="1">'10x2 barley M'!$A$1:$M$45</definedName>
    <definedName name="Z_FE58DACD_0759_49AE_B802_24C56E0F01FD_.wvu.PrintArea" localSheetId="38" hidden="1">'10x2 barley Y'!$A$1:$M$45</definedName>
    <definedName name="Z_FE58DACD_0759_49AE_B802_24C56E0F01FD_.wvu.PrintArea" localSheetId="21" hidden="1">'10x2 hay1 B'!$A$1:$M$45</definedName>
    <definedName name="Z_FE58DACD_0759_49AE_B802_24C56E0F01FD_.wvu.PrintArea" localSheetId="24" hidden="1">'10x2 hay2 B'!$A$1:$M$45</definedName>
    <definedName name="Z_FE58DACD_0759_49AE_B802_24C56E0F01FD_.wvu.PrintArea" localSheetId="25" hidden="1">'10x2 hay2 F'!$A$1:$M$45</definedName>
    <definedName name="Z_FE58DACD_0759_49AE_B802_24C56E0F01FD_.wvu.PrintArea" localSheetId="18" hidden="1">'10x2 maize silage B'!$A$1:$M$45</definedName>
    <definedName name="Z_FE58DACD_0759_49AE_B802_24C56E0F01FD_.wvu.PrintArea" localSheetId="17" hidden="1">'10x2 maize silage Y'!$A$1:$M$45</definedName>
    <definedName name="Z_FE58DACD_0759_49AE_B802_24C56E0F01FD_.wvu.PrintArea" localSheetId="35" hidden="1">'10x2 oats B'!$A$1:$M$45</definedName>
    <definedName name="Z_FE58DACD_0759_49AE_B802_24C56E0F01FD_.wvu.PrintArea" localSheetId="36" hidden="1">'10x2 oats F'!$A$1:$M$45</definedName>
    <definedName name="Z_FE58DACD_0759_49AE_B802_24C56E0F01FD_.wvu.PrintArea" localSheetId="34" hidden="1">'10x2 rye B'!$A$1:$M$45</definedName>
    <definedName name="Z_FE58DACD_0759_49AE_B802_24C56E0F01FD_.wvu.PrintArea" localSheetId="47" hidden="1">'10x2 sunflower B'!$A$1:$M$45</definedName>
    <definedName name="Z_FE58DACD_0759_49AE_B802_24C56E0F01FD_.wvu.PrintArea" localSheetId="46" hidden="1">'10x2 sunflower F'!$A$1:$M$45</definedName>
    <definedName name="Z_FE58DACD_0759_49AE_B802_24C56E0F01FD_.wvu.PrintArea" localSheetId="43" hidden="1">'10x2 wheat B'!$A$1:$M$45</definedName>
    <definedName name="Z_FE58DACD_0759_49AE_B802_24C56E0F01FD_.wvu.PrintArea" localSheetId="44" hidden="1">'10x2 wheat M'!$A$1:$M$45</definedName>
    <definedName name="Z_FE58DACD_0759_49AE_B802_24C56E0F01FD_.wvu.PrintArea" localSheetId="45" hidden="1">'10x2 wheat Y'!$A$1:$M$45</definedName>
  </definedNames>
  <calcPr calcId="191029"/>
  <customWorkbookViews>
    <customWorkbookView name="Wagner, Wolfgang (LTZ) - Persönliche Ansicht" guid="{FE58DACD-0759-49AE-B802-24C56E0F01FD}" mergeInterval="0" personalView="1" xWindow="68" yWindow="16" windowWidth="1801" windowHeight="975" tabRatio="847" activeSheetId="5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8" l="1"/>
  <c r="E16" i="18"/>
  <c r="H15" i="18"/>
  <c r="E15" i="18"/>
  <c r="H18" i="18"/>
  <c r="H17" i="18"/>
  <c r="E18" i="18"/>
  <c r="E17" i="18"/>
  <c r="C33" i="2" l="1"/>
  <c r="C34" i="2" s="1"/>
  <c r="C35" i="2"/>
  <c r="C36" i="2" s="1"/>
  <c r="H31" i="2" l="1"/>
  <c r="H19" i="2"/>
  <c r="G19" i="51"/>
  <c r="D19" i="51"/>
  <c r="G18" i="51"/>
  <c r="D18" i="51"/>
  <c r="G17" i="51"/>
  <c r="D17" i="51"/>
  <c r="G16" i="51"/>
  <c r="D16" i="51"/>
  <c r="G15" i="51"/>
  <c r="D15" i="51"/>
  <c r="G14" i="51"/>
  <c r="D14" i="51"/>
  <c r="D13" i="51"/>
  <c r="G12" i="51"/>
  <c r="D12" i="51"/>
  <c r="G11" i="51"/>
  <c r="D11" i="51"/>
  <c r="G10" i="51"/>
  <c r="D10" i="51"/>
  <c r="G9" i="51"/>
  <c r="D9" i="51"/>
  <c r="H19" i="51" l="1"/>
  <c r="H18" i="51"/>
  <c r="H17" i="51"/>
  <c r="I17" i="51" s="1"/>
  <c r="J17" i="51" s="1"/>
  <c r="H16" i="51"/>
  <c r="H15" i="51"/>
  <c r="H14" i="51"/>
  <c r="H13" i="51"/>
  <c r="I13" i="51" s="1"/>
  <c r="J13" i="51" s="1"/>
  <c r="H12" i="51"/>
  <c r="I12" i="51" s="1"/>
  <c r="H11" i="51"/>
  <c r="H10" i="51"/>
  <c r="H9" i="51"/>
  <c r="I9" i="51" s="1"/>
  <c r="I11" i="51" l="1"/>
  <c r="J11" i="51" s="1"/>
  <c r="I15" i="51"/>
  <c r="J15" i="51" s="1"/>
  <c r="I18" i="51"/>
  <c r="J18" i="51" s="1"/>
  <c r="I10" i="51"/>
  <c r="I14" i="51"/>
  <c r="J14" i="51" s="1"/>
  <c r="J9" i="51"/>
  <c r="I19" i="51"/>
  <c r="J19" i="51" s="1"/>
  <c r="I16" i="51"/>
  <c r="J16" i="51" s="1"/>
  <c r="J12" i="51"/>
  <c r="H10" i="2"/>
  <c r="I21" i="51" l="1"/>
  <c r="I22" i="51"/>
  <c r="J10" i="51"/>
  <c r="G19" i="50"/>
  <c r="D19" i="50"/>
  <c r="G18" i="50"/>
  <c r="D18" i="50"/>
  <c r="G17" i="50"/>
  <c r="D17" i="50"/>
  <c r="G16" i="50"/>
  <c r="D16" i="50"/>
  <c r="G15" i="50"/>
  <c r="D15" i="50"/>
  <c r="G14" i="50"/>
  <c r="D14" i="50"/>
  <c r="G13" i="50"/>
  <c r="D13" i="50"/>
  <c r="G12" i="50"/>
  <c r="D12" i="50"/>
  <c r="G11" i="50"/>
  <c r="D11" i="50"/>
  <c r="G10" i="50"/>
  <c r="D10" i="50"/>
  <c r="G9" i="50"/>
  <c r="D9" i="50"/>
  <c r="I23" i="51" l="1"/>
  <c r="J25" i="51"/>
  <c r="J26" i="51" s="1"/>
  <c r="J22" i="51"/>
  <c r="J21" i="51"/>
  <c r="G19" i="48"/>
  <c r="D19" i="48"/>
  <c r="G18" i="48"/>
  <c r="D18" i="48"/>
  <c r="G17" i="48"/>
  <c r="D17" i="48"/>
  <c r="G16" i="48"/>
  <c r="D16" i="48"/>
  <c r="G15" i="48"/>
  <c r="D15" i="48"/>
  <c r="G14" i="48"/>
  <c r="D14" i="48"/>
  <c r="D13" i="48"/>
  <c r="G12" i="48"/>
  <c r="D12" i="48"/>
  <c r="D11" i="48"/>
  <c r="G10" i="48"/>
  <c r="D10" i="48"/>
  <c r="D9" i="48"/>
  <c r="J23" i="51" l="1"/>
  <c r="K13" i="51"/>
  <c r="K17" i="51"/>
  <c r="K12" i="51"/>
  <c r="K15" i="51"/>
  <c r="K16" i="51"/>
  <c r="K9" i="51"/>
  <c r="K14" i="51"/>
  <c r="K18" i="51"/>
  <c r="K11" i="51"/>
  <c r="K19" i="51"/>
  <c r="K10" i="51"/>
  <c r="H17" i="50"/>
  <c r="H12" i="50"/>
  <c r="I12" i="50" s="1"/>
  <c r="J12" i="50" s="1"/>
  <c r="H9" i="50"/>
  <c r="H18" i="50"/>
  <c r="H16" i="50"/>
  <c r="I16" i="50" s="1"/>
  <c r="H13" i="50"/>
  <c r="H17" i="48"/>
  <c r="I17" i="48" s="1"/>
  <c r="J17" i="48" s="1"/>
  <c r="H16" i="48"/>
  <c r="I16" i="48" s="1"/>
  <c r="H13" i="48"/>
  <c r="I13" i="48" s="1"/>
  <c r="J13" i="48" s="1"/>
  <c r="H12" i="48"/>
  <c r="H9" i="48"/>
  <c r="I9" i="48" s="1"/>
  <c r="H19" i="48"/>
  <c r="H18" i="48"/>
  <c r="H14" i="48"/>
  <c r="H10" i="48"/>
  <c r="K21" i="51" l="1"/>
  <c r="K24" i="51" s="1"/>
  <c r="H19" i="50"/>
  <c r="I19" i="50" s="1"/>
  <c r="J19" i="50" s="1"/>
  <c r="H15" i="50"/>
  <c r="I15" i="50" s="1"/>
  <c r="J15" i="50" s="1"/>
  <c r="H14" i="50"/>
  <c r="I14" i="50" s="1"/>
  <c r="J14" i="50" s="1"/>
  <c r="H11" i="50"/>
  <c r="I11" i="50" s="1"/>
  <c r="J11" i="50" s="1"/>
  <c r="H10" i="50"/>
  <c r="I13" i="50"/>
  <c r="J13" i="50" s="1"/>
  <c r="I17" i="50"/>
  <c r="J17" i="50" s="1"/>
  <c r="I18" i="50"/>
  <c r="J18" i="50" s="1"/>
  <c r="I9" i="50"/>
  <c r="J9" i="50" s="1"/>
  <c r="J16" i="50"/>
  <c r="H15" i="48"/>
  <c r="H11" i="48"/>
  <c r="I11" i="48" s="1"/>
  <c r="J11" i="48" s="1"/>
  <c r="I19" i="48"/>
  <c r="J19" i="48" s="1"/>
  <c r="I10" i="48"/>
  <c r="I14" i="48"/>
  <c r="J14" i="48" s="1"/>
  <c r="J9" i="48"/>
  <c r="I18" i="48"/>
  <c r="J18" i="48" s="1"/>
  <c r="J16" i="48"/>
  <c r="I12" i="48"/>
  <c r="J12" i="48" s="1"/>
  <c r="G19" i="47"/>
  <c r="D19" i="47"/>
  <c r="G18" i="47"/>
  <c r="D18" i="47"/>
  <c r="G17" i="47"/>
  <c r="D17" i="47"/>
  <c r="G16" i="47"/>
  <c r="D16" i="47"/>
  <c r="G15" i="47"/>
  <c r="D15" i="47"/>
  <c r="G14" i="47"/>
  <c r="D14" i="47"/>
  <c r="G13" i="47"/>
  <c r="D13" i="47"/>
  <c r="G12" i="47"/>
  <c r="D12" i="47"/>
  <c r="G11" i="47"/>
  <c r="D11" i="47"/>
  <c r="G10" i="47"/>
  <c r="D10" i="47"/>
  <c r="G9" i="47"/>
  <c r="D9" i="47"/>
  <c r="H19" i="47" l="1"/>
  <c r="H12" i="47"/>
  <c r="I12" i="47" s="1"/>
  <c r="J12" i="47" s="1"/>
  <c r="H14" i="47"/>
  <c r="I14" i="47" s="1"/>
  <c r="J14" i="47" s="1"/>
  <c r="H11" i="47"/>
  <c r="I11" i="47" s="1"/>
  <c r="J11" i="47" s="1"/>
  <c r="H16" i="47"/>
  <c r="I16" i="47" s="1"/>
  <c r="J16" i="47" s="1"/>
  <c r="I10" i="50"/>
  <c r="I21" i="50" s="1"/>
  <c r="I15" i="48"/>
  <c r="I21" i="48" s="1"/>
  <c r="J10" i="48"/>
  <c r="H18" i="47"/>
  <c r="I18" i="47" s="1"/>
  <c r="J18" i="47" s="1"/>
  <c r="H17" i="47"/>
  <c r="I17" i="47" s="1"/>
  <c r="J17" i="47" s="1"/>
  <c r="H15" i="47"/>
  <c r="I15" i="47" s="1"/>
  <c r="J15" i="47" s="1"/>
  <c r="H13" i="47"/>
  <c r="I13" i="47" s="1"/>
  <c r="J13" i="47" s="1"/>
  <c r="H10" i="47"/>
  <c r="I10" i="47" s="1"/>
  <c r="J10" i="47" s="1"/>
  <c r="H9" i="47"/>
  <c r="I9" i="47" s="1"/>
  <c r="J9" i="47" s="1"/>
  <c r="I19" i="47"/>
  <c r="J19" i="47" s="1"/>
  <c r="G19" i="46"/>
  <c r="D19" i="46"/>
  <c r="G18" i="46"/>
  <c r="D18" i="46"/>
  <c r="G17" i="46"/>
  <c r="D17" i="46"/>
  <c r="G16" i="46"/>
  <c r="D16" i="46"/>
  <c r="G15" i="46"/>
  <c r="D15" i="46"/>
  <c r="G14" i="46"/>
  <c r="D14" i="46"/>
  <c r="G13" i="46"/>
  <c r="D13" i="46"/>
  <c r="G12" i="46"/>
  <c r="D12" i="46"/>
  <c r="G11" i="46"/>
  <c r="D11" i="46"/>
  <c r="G10" i="46"/>
  <c r="D10" i="46"/>
  <c r="G9" i="46"/>
  <c r="D9" i="46"/>
  <c r="H13" i="46" l="1"/>
  <c r="I13" i="46" s="1"/>
  <c r="H17" i="46"/>
  <c r="I17" i="46" s="1"/>
  <c r="J17" i="46" s="1"/>
  <c r="H14" i="46"/>
  <c r="H15" i="46"/>
  <c r="I15" i="46" s="1"/>
  <c r="J15" i="46" s="1"/>
  <c r="H12" i="46"/>
  <c r="I12" i="46" s="1"/>
  <c r="J12" i="46" s="1"/>
  <c r="H10" i="46"/>
  <c r="I10" i="46" s="1"/>
  <c r="H18" i="46"/>
  <c r="I18" i="46" s="1"/>
  <c r="J18" i="46" s="1"/>
  <c r="H11" i="46"/>
  <c r="I11" i="46" s="1"/>
  <c r="J11" i="46" s="1"/>
  <c r="H9" i="46"/>
  <c r="I9" i="46" s="1"/>
  <c r="I22" i="48"/>
  <c r="I23" i="48" s="1"/>
  <c r="J15" i="48"/>
  <c r="J21" i="48" s="1"/>
  <c r="K14" i="48" s="1"/>
  <c r="J10" i="50"/>
  <c r="I22" i="50"/>
  <c r="I23" i="50" s="1"/>
  <c r="J21" i="47"/>
  <c r="K13" i="47" s="1"/>
  <c r="J25" i="47"/>
  <c r="J26" i="47" s="1"/>
  <c r="J22" i="47"/>
  <c r="I21" i="47"/>
  <c r="I22" i="47"/>
  <c r="H19" i="46"/>
  <c r="I19" i="46" s="1"/>
  <c r="J19" i="46" s="1"/>
  <c r="H16" i="46"/>
  <c r="I16" i="46" s="1"/>
  <c r="J9" i="46"/>
  <c r="I14" i="46"/>
  <c r="J14" i="46" s="1"/>
  <c r="J10" i="46"/>
  <c r="J13" i="46"/>
  <c r="G19" i="45"/>
  <c r="D19" i="45"/>
  <c r="G18" i="45"/>
  <c r="D18" i="45"/>
  <c r="G17" i="45"/>
  <c r="D17" i="45"/>
  <c r="G16" i="45"/>
  <c r="D16" i="45"/>
  <c r="G15" i="45"/>
  <c r="D15" i="45"/>
  <c r="G14" i="45"/>
  <c r="D14" i="45"/>
  <c r="G13" i="45"/>
  <c r="D13" i="45"/>
  <c r="G12" i="45"/>
  <c r="D12" i="45"/>
  <c r="G11" i="45"/>
  <c r="D11" i="45"/>
  <c r="G10" i="45"/>
  <c r="D10" i="45"/>
  <c r="G9" i="45"/>
  <c r="D9" i="45"/>
  <c r="K16" i="47" l="1"/>
  <c r="J22" i="48"/>
  <c r="J23" i="48" s="1"/>
  <c r="J25" i="48"/>
  <c r="J26" i="48" s="1"/>
  <c r="I23" i="47"/>
  <c r="K11" i="48"/>
  <c r="J21" i="50"/>
  <c r="K14" i="50" s="1"/>
  <c r="J22" i="50"/>
  <c r="J25" i="50"/>
  <c r="J26" i="50" s="1"/>
  <c r="K18" i="48"/>
  <c r="K13" i="48"/>
  <c r="K9" i="48"/>
  <c r="K12" i="48"/>
  <c r="K15" i="48"/>
  <c r="K16" i="48"/>
  <c r="K17" i="48"/>
  <c r="K10" i="48"/>
  <c r="K19" i="48"/>
  <c r="K12" i="47"/>
  <c r="K9" i="47"/>
  <c r="J23" i="47"/>
  <c r="K11" i="47"/>
  <c r="K10" i="47"/>
  <c r="K14" i="47"/>
  <c r="K19" i="47"/>
  <c r="K15" i="47"/>
  <c r="K18" i="47"/>
  <c r="K17" i="47"/>
  <c r="J16" i="46"/>
  <c r="J21" i="46" s="1"/>
  <c r="K9" i="46" s="1"/>
  <c r="I22" i="46"/>
  <c r="I21" i="46"/>
  <c r="G19" i="44"/>
  <c r="D19" i="44"/>
  <c r="D18" i="44"/>
  <c r="G17" i="44"/>
  <c r="D17" i="44"/>
  <c r="G16" i="44"/>
  <c r="D16" i="44"/>
  <c r="G15" i="44"/>
  <c r="D15" i="44"/>
  <c r="D14" i="44"/>
  <c r="G13" i="44"/>
  <c r="D13" i="44"/>
  <c r="G12" i="44"/>
  <c r="D12" i="44"/>
  <c r="G11" i="44"/>
  <c r="D11" i="44"/>
  <c r="G10" i="44"/>
  <c r="D10" i="44"/>
  <c r="G9" i="44"/>
  <c r="D9" i="44"/>
  <c r="K21" i="48" l="1"/>
  <c r="K24" i="48" s="1"/>
  <c r="K10" i="50"/>
  <c r="K9" i="50"/>
  <c r="K16" i="50"/>
  <c r="K11" i="50"/>
  <c r="K12" i="50"/>
  <c r="K19" i="50"/>
  <c r="K15" i="50"/>
  <c r="K17" i="50"/>
  <c r="K13" i="50"/>
  <c r="K18" i="50"/>
  <c r="J23" i="50"/>
  <c r="K21" i="47"/>
  <c r="K24" i="47" s="1"/>
  <c r="K17" i="46"/>
  <c r="J22" i="46"/>
  <c r="J23" i="46" s="1"/>
  <c r="J25" i="46"/>
  <c r="J26" i="46" s="1"/>
  <c r="K14" i="46"/>
  <c r="I23" i="46"/>
  <c r="K11" i="46"/>
  <c r="K18" i="46"/>
  <c r="K16" i="46"/>
  <c r="K12" i="46"/>
  <c r="K19" i="46"/>
  <c r="K15" i="46"/>
  <c r="K13" i="46"/>
  <c r="K10" i="46"/>
  <c r="H19" i="45"/>
  <c r="H18" i="45"/>
  <c r="H17" i="45"/>
  <c r="H16" i="45"/>
  <c r="H15" i="45"/>
  <c r="H14" i="45"/>
  <c r="H13" i="45"/>
  <c r="H12" i="45"/>
  <c r="H11" i="45"/>
  <c r="H10" i="45"/>
  <c r="H9" i="45"/>
  <c r="H19" i="44"/>
  <c r="I19" i="44" s="1"/>
  <c r="H18" i="44"/>
  <c r="H17" i="44"/>
  <c r="I17" i="44" s="1"/>
  <c r="J17" i="44" s="1"/>
  <c r="H16" i="44"/>
  <c r="I16" i="44" s="1"/>
  <c r="H15" i="44"/>
  <c r="H14" i="44"/>
  <c r="I14" i="44" s="1"/>
  <c r="J14" i="44" s="1"/>
  <c r="H13" i="44"/>
  <c r="H12" i="44"/>
  <c r="H11" i="44"/>
  <c r="I11" i="44" s="1"/>
  <c r="J11" i="44" s="1"/>
  <c r="H10" i="44"/>
  <c r="I10" i="44" s="1"/>
  <c r="H9" i="44"/>
  <c r="K21" i="50" l="1"/>
  <c r="K24" i="50" s="1"/>
  <c r="K21" i="46"/>
  <c r="K24" i="46" s="1"/>
  <c r="I17" i="45"/>
  <c r="J17" i="45" s="1"/>
  <c r="I14" i="45"/>
  <c r="J14" i="45" s="1"/>
  <c r="I11" i="45"/>
  <c r="J11" i="45" s="1"/>
  <c r="I10" i="45"/>
  <c r="J10" i="45" s="1"/>
  <c r="I13" i="45"/>
  <c r="J13" i="45" s="1"/>
  <c r="I16" i="45"/>
  <c r="J16" i="45" s="1"/>
  <c r="I19" i="45"/>
  <c r="J19" i="45" s="1"/>
  <c r="I9" i="45"/>
  <c r="J9" i="45" s="1"/>
  <c r="I12" i="45"/>
  <c r="J12" i="45" s="1"/>
  <c r="I15" i="45"/>
  <c r="J15" i="45" s="1"/>
  <c r="I18" i="45"/>
  <c r="J18" i="45" s="1"/>
  <c r="I13" i="44"/>
  <c r="J13" i="44" s="1"/>
  <c r="J10" i="44"/>
  <c r="J16" i="44"/>
  <c r="J19" i="44"/>
  <c r="I9" i="44"/>
  <c r="J9" i="44" s="1"/>
  <c r="I12" i="44"/>
  <c r="J12" i="44" s="1"/>
  <c r="I15" i="44"/>
  <c r="J15" i="44" s="1"/>
  <c r="I18" i="44"/>
  <c r="J18" i="44" s="1"/>
  <c r="I28" i="43"/>
  <c r="I27" i="43"/>
  <c r="J27" i="43" s="1"/>
  <c r="K27" i="43" s="1"/>
  <c r="I26" i="43"/>
  <c r="I25" i="43"/>
  <c r="J25" i="43" s="1"/>
  <c r="K25" i="43" s="1"/>
  <c r="I24" i="43"/>
  <c r="J24" i="43" s="1"/>
  <c r="K24" i="43" s="1"/>
  <c r="I23" i="43"/>
  <c r="J23" i="43" s="1"/>
  <c r="K23" i="43" s="1"/>
  <c r="I22" i="43"/>
  <c r="J22" i="43" s="1"/>
  <c r="I21" i="43"/>
  <c r="I20" i="43"/>
  <c r="I19" i="43"/>
  <c r="J19" i="43" s="1"/>
  <c r="K19" i="43" s="1"/>
  <c r="I18" i="43"/>
  <c r="J18" i="43" s="1"/>
  <c r="I17" i="43"/>
  <c r="J17" i="43" s="1"/>
  <c r="I16" i="43"/>
  <c r="J16" i="43" s="1"/>
  <c r="I15" i="43"/>
  <c r="I14" i="43"/>
  <c r="J14" i="43" s="1"/>
  <c r="K14" i="43" s="1"/>
  <c r="I13" i="43"/>
  <c r="I12" i="43"/>
  <c r="J12" i="43" s="1"/>
  <c r="K12" i="43" s="1"/>
  <c r="I11" i="43"/>
  <c r="J11" i="43" s="1"/>
  <c r="I10" i="43"/>
  <c r="I9" i="43"/>
  <c r="J9" i="43" s="1"/>
  <c r="K9" i="43" s="1"/>
  <c r="E28" i="42"/>
  <c r="I28" i="42" s="1"/>
  <c r="E27" i="42"/>
  <c r="I27" i="42" s="1"/>
  <c r="E26" i="42"/>
  <c r="I26" i="42" s="1"/>
  <c r="H25" i="42"/>
  <c r="E25" i="42"/>
  <c r="I24" i="42"/>
  <c r="J24" i="42" s="1"/>
  <c r="I23" i="42"/>
  <c r="J23" i="42" s="1"/>
  <c r="I22" i="42"/>
  <c r="I21" i="42"/>
  <c r="I20" i="42"/>
  <c r="H19" i="42"/>
  <c r="E19" i="42"/>
  <c r="E18" i="42"/>
  <c r="I18" i="42" s="1"/>
  <c r="E17" i="42"/>
  <c r="I17" i="42" s="1"/>
  <c r="I16" i="42"/>
  <c r="J16" i="42" s="1"/>
  <c r="I15" i="42"/>
  <c r="J15" i="42" s="1"/>
  <c r="H14" i="42"/>
  <c r="E14" i="42"/>
  <c r="H13" i="42"/>
  <c r="E13" i="42"/>
  <c r="I13" i="42" s="1"/>
  <c r="J13" i="42" s="1"/>
  <c r="I12" i="42"/>
  <c r="J12" i="42" s="1"/>
  <c r="I11" i="42"/>
  <c r="I10" i="42"/>
  <c r="I9" i="42"/>
  <c r="J9" i="42" s="1"/>
  <c r="K9" i="42" s="1"/>
  <c r="I14" i="42" l="1"/>
  <c r="I19" i="42"/>
  <c r="J14" i="42"/>
  <c r="K14" i="42" s="1"/>
  <c r="J28" i="42"/>
  <c r="K28" i="42" s="1"/>
  <c r="J20" i="42"/>
  <c r="K20" i="42" s="1"/>
  <c r="I25" i="42"/>
  <c r="K26" i="43"/>
  <c r="L25" i="43" s="1"/>
  <c r="M25" i="43" s="1"/>
  <c r="J22" i="42"/>
  <c r="K22" i="42" s="1"/>
  <c r="K16" i="43"/>
  <c r="J26" i="43"/>
  <c r="J25" i="45"/>
  <c r="J26" i="45" s="1"/>
  <c r="J21" i="45"/>
  <c r="K9" i="45" s="1"/>
  <c r="J22" i="45"/>
  <c r="I21" i="45"/>
  <c r="I22" i="45"/>
  <c r="J25" i="44"/>
  <c r="J26" i="44" s="1"/>
  <c r="J21" i="44"/>
  <c r="K15" i="44" s="1"/>
  <c r="J22" i="44"/>
  <c r="I21" i="44"/>
  <c r="I22" i="44"/>
  <c r="J18" i="42"/>
  <c r="K18" i="42" s="1"/>
  <c r="L23" i="43"/>
  <c r="M23" i="43" s="1"/>
  <c r="N23" i="43"/>
  <c r="J25" i="42"/>
  <c r="K25" i="42" s="1"/>
  <c r="J19" i="42"/>
  <c r="K19" i="42" s="1"/>
  <c r="J27" i="42"/>
  <c r="K27" i="42" s="1"/>
  <c r="K11" i="43"/>
  <c r="J15" i="43"/>
  <c r="K15" i="43" s="1"/>
  <c r="K18" i="43"/>
  <c r="K12" i="42"/>
  <c r="K15" i="42"/>
  <c r="K23" i="42"/>
  <c r="J10" i="42"/>
  <c r="K10" i="42" s="1"/>
  <c r="K16" i="42"/>
  <c r="J21" i="42"/>
  <c r="K21" i="42" s="1"/>
  <c r="K24" i="42"/>
  <c r="J20" i="43"/>
  <c r="K20" i="43" s="1"/>
  <c r="K17" i="43"/>
  <c r="L17" i="43" s="1"/>
  <c r="M17" i="43" s="1"/>
  <c r="K22" i="43"/>
  <c r="J11" i="42"/>
  <c r="K11" i="42" s="1"/>
  <c r="J17" i="42"/>
  <c r="K17" i="42" s="1"/>
  <c r="J26" i="42"/>
  <c r="K26" i="42" s="1"/>
  <c r="J10" i="43"/>
  <c r="K10" i="43" s="1"/>
  <c r="N9" i="43" s="1"/>
  <c r="J21" i="43"/>
  <c r="K21" i="43" s="1"/>
  <c r="J28" i="43"/>
  <c r="K28" i="43" s="1"/>
  <c r="K13" i="42"/>
  <c r="J13" i="43"/>
  <c r="K13" i="43" s="1"/>
  <c r="N25" i="42" l="1"/>
  <c r="N21" i="42"/>
  <c r="N25" i="43"/>
  <c r="N23" i="42"/>
  <c r="N13" i="42"/>
  <c r="L25" i="42"/>
  <c r="M25" i="42" s="1"/>
  <c r="L23" i="42"/>
  <c r="M23" i="42" s="1"/>
  <c r="N17" i="43"/>
  <c r="L21" i="42"/>
  <c r="M21" i="42" s="1"/>
  <c r="L13" i="42"/>
  <c r="M13" i="42" s="1"/>
  <c r="N15" i="42"/>
  <c r="K19" i="45"/>
  <c r="K18" i="45"/>
  <c r="K17" i="45"/>
  <c r="K16" i="45"/>
  <c r="K15" i="45"/>
  <c r="K14" i="45"/>
  <c r="K13" i="45"/>
  <c r="K12" i="45"/>
  <c r="K11" i="45"/>
  <c r="K10" i="45"/>
  <c r="J23" i="45"/>
  <c r="I23" i="45"/>
  <c r="K18" i="44"/>
  <c r="K16" i="44"/>
  <c r="I23" i="44"/>
  <c r="J23" i="44"/>
  <c r="K14" i="44"/>
  <c r="K11" i="44"/>
  <c r="K10" i="44"/>
  <c r="K13" i="44"/>
  <c r="K17" i="44"/>
  <c r="K19" i="44"/>
  <c r="K9" i="44"/>
  <c r="K12" i="44"/>
  <c r="N13" i="43"/>
  <c r="L13" i="43"/>
  <c r="M13" i="43" s="1"/>
  <c r="L15" i="43"/>
  <c r="M15" i="43" s="1"/>
  <c r="N15" i="43"/>
  <c r="L27" i="43"/>
  <c r="M27" i="43" s="1"/>
  <c r="N27" i="43"/>
  <c r="L17" i="42"/>
  <c r="M17" i="42" s="1"/>
  <c r="N17" i="42"/>
  <c r="L9" i="42"/>
  <c r="M9" i="42" s="1"/>
  <c r="N9" i="42"/>
  <c r="L27" i="42"/>
  <c r="M27" i="42" s="1"/>
  <c r="N27" i="42"/>
  <c r="N19" i="43"/>
  <c r="L19" i="43"/>
  <c r="M19" i="43" s="1"/>
  <c r="L11" i="42"/>
  <c r="M11" i="42" s="1"/>
  <c r="N11" i="42"/>
  <c r="L15" i="42"/>
  <c r="M15" i="42" s="1"/>
  <c r="L9" i="43"/>
  <c r="M9" i="43" s="1"/>
  <c r="L21" i="43"/>
  <c r="M21" i="43" s="1"/>
  <c r="N21" i="43"/>
  <c r="N11" i="43"/>
  <c r="L19" i="42"/>
  <c r="M19" i="42" s="1"/>
  <c r="L11" i="43"/>
  <c r="M11" i="43" s="1"/>
  <c r="N19" i="42"/>
  <c r="H19" i="37"/>
  <c r="H18" i="37"/>
  <c r="I18" i="37" s="1"/>
  <c r="J18" i="37" s="1"/>
  <c r="H17" i="37"/>
  <c r="H16" i="37"/>
  <c r="I16" i="37" s="1"/>
  <c r="J16" i="37" s="1"/>
  <c r="H15" i="37"/>
  <c r="H14" i="37"/>
  <c r="I14" i="37" s="1"/>
  <c r="J14" i="37" s="1"/>
  <c r="H13" i="37"/>
  <c r="H12" i="37"/>
  <c r="I12" i="37" s="1"/>
  <c r="J12" i="37" s="1"/>
  <c r="H11" i="37"/>
  <c r="H10" i="37"/>
  <c r="I10" i="37" s="1"/>
  <c r="J10" i="37" s="1"/>
  <c r="H9" i="37"/>
  <c r="N29" i="43" l="1"/>
  <c r="K21" i="45"/>
  <c r="K24" i="45" s="1"/>
  <c r="K21" i="44"/>
  <c r="K24" i="44" s="1"/>
  <c r="M29" i="42"/>
  <c r="M30" i="42" s="1"/>
  <c r="N29" i="42"/>
  <c r="M29" i="43"/>
  <c r="M30" i="43" s="1"/>
  <c r="I9" i="37"/>
  <c r="J9" i="37" s="1"/>
  <c r="I13" i="37"/>
  <c r="J13" i="37" s="1"/>
  <c r="I17" i="37"/>
  <c r="J17" i="37" s="1"/>
  <c r="I11" i="37"/>
  <c r="J11" i="37" s="1"/>
  <c r="I15" i="37"/>
  <c r="J15" i="37" s="1"/>
  <c r="I19" i="37"/>
  <c r="J19" i="37" s="1"/>
  <c r="M33" i="43" l="1"/>
  <c r="M33" i="42"/>
  <c r="J21" i="37"/>
  <c r="K15" i="37" s="1"/>
  <c r="J25" i="37"/>
  <c r="J26" i="37" s="1"/>
  <c r="J22" i="37"/>
  <c r="I21" i="37"/>
  <c r="I22" i="37"/>
  <c r="I23" i="37" l="1"/>
  <c r="J23" i="37"/>
  <c r="K11" i="37"/>
  <c r="K19" i="37"/>
  <c r="K13" i="37"/>
  <c r="K12" i="37"/>
  <c r="K14" i="37"/>
  <c r="K18" i="37"/>
  <c r="K16" i="37"/>
  <c r="K10" i="37"/>
  <c r="K9" i="37"/>
  <c r="K17" i="37"/>
  <c r="K21" i="37" l="1"/>
  <c r="K24" i="37" s="1"/>
  <c r="I28" i="41" l="1"/>
  <c r="I27" i="41"/>
  <c r="J27" i="41" s="1"/>
  <c r="I26" i="41"/>
  <c r="I25" i="41"/>
  <c r="I24" i="41"/>
  <c r="I23" i="41"/>
  <c r="J23" i="41" s="1"/>
  <c r="I22" i="41"/>
  <c r="J22" i="41" s="1"/>
  <c r="K22" i="41" s="1"/>
  <c r="I21" i="41"/>
  <c r="I20" i="41"/>
  <c r="J20" i="41" s="1"/>
  <c r="K20" i="41" s="1"/>
  <c r="I19" i="41"/>
  <c r="J19" i="41" s="1"/>
  <c r="I18" i="41"/>
  <c r="I17" i="41"/>
  <c r="J17" i="41" s="1"/>
  <c r="K17" i="41" s="1"/>
  <c r="I16" i="41"/>
  <c r="I15" i="41"/>
  <c r="J15" i="41" s="1"/>
  <c r="K15" i="41" s="1"/>
  <c r="I14" i="41"/>
  <c r="I13" i="41"/>
  <c r="I12" i="41"/>
  <c r="J12" i="41" s="1"/>
  <c r="I11" i="41"/>
  <c r="I10" i="41"/>
  <c r="I9" i="41"/>
  <c r="I28" i="40"/>
  <c r="I27" i="40"/>
  <c r="I26" i="40"/>
  <c r="I25" i="40"/>
  <c r="I24" i="40"/>
  <c r="I23" i="40"/>
  <c r="J23" i="40" s="1"/>
  <c r="I22" i="40"/>
  <c r="I21" i="40"/>
  <c r="I20" i="40"/>
  <c r="J20" i="40" s="1"/>
  <c r="K20" i="40" s="1"/>
  <c r="I19" i="40"/>
  <c r="I18" i="40"/>
  <c r="I17" i="40"/>
  <c r="I16" i="40"/>
  <c r="J16" i="40" s="1"/>
  <c r="K16" i="40" s="1"/>
  <c r="I15" i="40"/>
  <c r="J15" i="40" s="1"/>
  <c r="K15" i="40" s="1"/>
  <c r="I14" i="40"/>
  <c r="I13" i="40"/>
  <c r="I12" i="40"/>
  <c r="I11" i="40"/>
  <c r="J11" i="40" s="1"/>
  <c r="K11" i="40" s="1"/>
  <c r="I10" i="40"/>
  <c r="I9" i="40"/>
  <c r="I28" i="39"/>
  <c r="J28" i="39" s="1"/>
  <c r="I27" i="39"/>
  <c r="I26" i="39"/>
  <c r="J26" i="39" s="1"/>
  <c r="I25" i="39"/>
  <c r="I24" i="39"/>
  <c r="J24" i="39" s="1"/>
  <c r="K24" i="39" s="1"/>
  <c r="I23" i="39"/>
  <c r="I22" i="39"/>
  <c r="I21" i="39"/>
  <c r="I20" i="39"/>
  <c r="J20" i="39" s="1"/>
  <c r="K20" i="39" s="1"/>
  <c r="I19" i="39"/>
  <c r="J19" i="39" s="1"/>
  <c r="I18" i="39"/>
  <c r="I17" i="39"/>
  <c r="J17" i="39" s="1"/>
  <c r="K17" i="39" s="1"/>
  <c r="I16" i="39"/>
  <c r="I15" i="39"/>
  <c r="J15" i="39" s="1"/>
  <c r="K15" i="39" s="1"/>
  <c r="I14" i="39"/>
  <c r="I13" i="39"/>
  <c r="I12" i="39"/>
  <c r="I11" i="39"/>
  <c r="I10" i="39"/>
  <c r="I9" i="39"/>
  <c r="J22" i="39" l="1"/>
  <c r="K22" i="39" s="1"/>
  <c r="J16" i="41"/>
  <c r="K16" i="41" s="1"/>
  <c r="J11" i="41"/>
  <c r="K11" i="41" s="1"/>
  <c r="J28" i="41"/>
  <c r="K28" i="41" s="1"/>
  <c r="J10" i="41"/>
  <c r="K10" i="41" s="1"/>
  <c r="K19" i="41"/>
  <c r="L19" i="41" s="1"/>
  <c r="M19" i="41" s="1"/>
  <c r="J21" i="41"/>
  <c r="K21" i="41" s="1"/>
  <c r="J26" i="41"/>
  <c r="K26" i="41" s="1"/>
  <c r="J24" i="41"/>
  <c r="K24" i="41" s="1"/>
  <c r="J9" i="41"/>
  <c r="K9" i="41" s="1"/>
  <c r="K12" i="41"/>
  <c r="J14" i="41"/>
  <c r="K14" i="41" s="1"/>
  <c r="K23" i="41"/>
  <c r="J25" i="41"/>
  <c r="K25" i="41" s="1"/>
  <c r="J13" i="41"/>
  <c r="K13" i="41" s="1"/>
  <c r="J18" i="41"/>
  <c r="K18" i="41" s="1"/>
  <c r="K27" i="41"/>
  <c r="J13" i="40"/>
  <c r="K13" i="40" s="1"/>
  <c r="J18" i="40"/>
  <c r="K18" i="40" s="1"/>
  <c r="J12" i="40"/>
  <c r="K12" i="40" s="1"/>
  <c r="J28" i="40"/>
  <c r="K28" i="40" s="1"/>
  <c r="N15" i="40"/>
  <c r="J22" i="40"/>
  <c r="K22" i="40" s="1"/>
  <c r="L15" i="40"/>
  <c r="M15" i="40" s="1"/>
  <c r="J19" i="40"/>
  <c r="K19" i="40" s="1"/>
  <c r="J24" i="40"/>
  <c r="K24" i="40" s="1"/>
  <c r="J10" i="40"/>
  <c r="K10" i="40" s="1"/>
  <c r="J21" i="40"/>
  <c r="K21" i="40" s="1"/>
  <c r="J26" i="40"/>
  <c r="K26" i="40" s="1"/>
  <c r="J9" i="40"/>
  <c r="K9" i="40" s="1"/>
  <c r="J14" i="40"/>
  <c r="K14" i="40" s="1"/>
  <c r="L13" i="40" s="1"/>
  <c r="M13" i="40" s="1"/>
  <c r="K23" i="40"/>
  <c r="J25" i="40"/>
  <c r="J17" i="40"/>
  <c r="K17" i="40" s="1"/>
  <c r="K25" i="40"/>
  <c r="J27" i="40"/>
  <c r="K27" i="40" s="1"/>
  <c r="K19" i="39"/>
  <c r="N19" i="39" s="1"/>
  <c r="J21" i="39"/>
  <c r="K21" i="39" s="1"/>
  <c r="J23" i="39"/>
  <c r="K23" i="39" s="1"/>
  <c r="J9" i="39"/>
  <c r="K9" i="39" s="1"/>
  <c r="K28" i="39"/>
  <c r="J10" i="39"/>
  <c r="K10" i="39" s="1"/>
  <c r="K26" i="39"/>
  <c r="J14" i="39"/>
  <c r="K14" i="39" s="1"/>
  <c r="J11" i="39"/>
  <c r="K11" i="39" s="1"/>
  <c r="J16" i="39"/>
  <c r="K16" i="39" s="1"/>
  <c r="J27" i="39"/>
  <c r="K27" i="39" s="1"/>
  <c r="J25" i="39"/>
  <c r="K25" i="39" s="1"/>
  <c r="J13" i="39"/>
  <c r="K13" i="39" s="1"/>
  <c r="J18" i="39"/>
  <c r="K18" i="39" s="1"/>
  <c r="L17" i="39" s="1"/>
  <c r="M17" i="39" s="1"/>
  <c r="J12" i="39"/>
  <c r="K12" i="39" s="1"/>
  <c r="N21" i="40" l="1"/>
  <c r="L23" i="40"/>
  <c r="N23" i="41"/>
  <c r="L19" i="39"/>
  <c r="M19" i="39" s="1"/>
  <c r="N21" i="41"/>
  <c r="L21" i="41"/>
  <c r="M21" i="41" s="1"/>
  <c r="L11" i="41"/>
  <c r="M11" i="41" s="1"/>
  <c r="N11" i="41"/>
  <c r="N9" i="41"/>
  <c r="L9" i="41"/>
  <c r="M9" i="41" s="1"/>
  <c r="N15" i="41"/>
  <c r="L15" i="41"/>
  <c r="M15" i="41" s="1"/>
  <c r="L27" i="41"/>
  <c r="M27" i="41" s="1"/>
  <c r="L23" i="41"/>
  <c r="L17" i="41"/>
  <c r="M17" i="41" s="1"/>
  <c r="N17" i="41"/>
  <c r="L13" i="41"/>
  <c r="M13" i="41" s="1"/>
  <c r="N13" i="41"/>
  <c r="N25" i="41"/>
  <c r="L25" i="41"/>
  <c r="M25" i="41" s="1"/>
  <c r="N19" i="41"/>
  <c r="N27" i="41"/>
  <c r="M23" i="41"/>
  <c r="N11" i="40"/>
  <c r="L11" i="40"/>
  <c r="M11" i="40" s="1"/>
  <c r="N13" i="40"/>
  <c r="L25" i="40"/>
  <c r="M25" i="40" s="1"/>
  <c r="L21" i="40"/>
  <c r="M21" i="40" s="1"/>
  <c r="L9" i="40"/>
  <c r="M9" i="40" s="1"/>
  <c r="N9" i="40"/>
  <c r="L17" i="40"/>
  <c r="M17" i="40" s="1"/>
  <c r="N17" i="40"/>
  <c r="N19" i="40"/>
  <c r="L19" i="40"/>
  <c r="M19" i="40" s="1"/>
  <c r="L27" i="40"/>
  <c r="M27" i="40" s="1"/>
  <c r="N27" i="40"/>
  <c r="N23" i="40"/>
  <c r="M23" i="40"/>
  <c r="N25" i="40"/>
  <c r="N9" i="39"/>
  <c r="L9" i="39"/>
  <c r="M9" i="39" s="1"/>
  <c r="N23" i="39"/>
  <c r="L23" i="39"/>
  <c r="M23" i="39" s="1"/>
  <c r="N15" i="39"/>
  <c r="L15" i="39"/>
  <c r="M15" i="39" s="1"/>
  <c r="L21" i="39"/>
  <c r="M21" i="39" s="1"/>
  <c r="N21" i="39"/>
  <c r="L27" i="39"/>
  <c r="M27" i="39" s="1"/>
  <c r="L13" i="39"/>
  <c r="M13" i="39" s="1"/>
  <c r="N13" i="39"/>
  <c r="L25" i="39"/>
  <c r="M25" i="39" s="1"/>
  <c r="N25" i="39"/>
  <c r="N11" i="39"/>
  <c r="L11" i="39"/>
  <c r="M11" i="39" s="1"/>
  <c r="N27" i="39"/>
  <c r="N17" i="39"/>
  <c r="N29" i="39" l="1"/>
  <c r="N29" i="40"/>
  <c r="N29" i="41"/>
  <c r="M29" i="41"/>
  <c r="M30" i="41" s="1"/>
  <c r="M33" i="41" s="1"/>
  <c r="M29" i="40"/>
  <c r="M30" i="40" s="1"/>
  <c r="M33" i="40" s="1"/>
  <c r="M29" i="39"/>
  <c r="M30" i="39" s="1"/>
  <c r="M33" i="39" s="1"/>
  <c r="H19" i="38" l="1"/>
  <c r="H18" i="38"/>
  <c r="H17" i="38"/>
  <c r="H16" i="38"/>
  <c r="H15" i="38"/>
  <c r="H14" i="38"/>
  <c r="H13" i="38"/>
  <c r="H12" i="38"/>
  <c r="H11" i="38"/>
  <c r="H10" i="38"/>
  <c r="H9" i="38"/>
  <c r="I14" i="38" l="1"/>
  <c r="J14" i="38" s="1"/>
  <c r="I16" i="38"/>
  <c r="J16" i="38" s="1"/>
  <c r="I18" i="38"/>
  <c r="J18" i="38"/>
  <c r="I12" i="38"/>
  <c r="J12" i="38" s="1"/>
  <c r="I11" i="38"/>
  <c r="J11" i="38" s="1"/>
  <c r="I15" i="38"/>
  <c r="J15" i="38" s="1"/>
  <c r="I17" i="38"/>
  <c r="J17" i="38" s="1"/>
  <c r="I19" i="38"/>
  <c r="J19" i="38" s="1"/>
  <c r="I10" i="38"/>
  <c r="J10" i="38" s="1"/>
  <c r="I13" i="38"/>
  <c r="J13" i="38" s="1"/>
  <c r="I9" i="38"/>
  <c r="J9" i="38" s="1"/>
  <c r="J22" i="38" l="1"/>
  <c r="J21" i="38"/>
  <c r="K14" i="38" s="1"/>
  <c r="J25" i="38"/>
  <c r="J26" i="38" s="1"/>
  <c r="I21" i="38"/>
  <c r="I22" i="38"/>
  <c r="I23" i="38" s="1"/>
  <c r="K15" i="38" l="1"/>
  <c r="J23" i="38"/>
  <c r="K16" i="38"/>
  <c r="K19" i="38"/>
  <c r="K12" i="38"/>
  <c r="K13" i="38"/>
  <c r="K18" i="38"/>
  <c r="K11" i="38"/>
  <c r="K10" i="38"/>
  <c r="K9" i="38"/>
  <c r="K17" i="38"/>
  <c r="K21" i="38" l="1"/>
  <c r="K24" i="38" s="1"/>
  <c r="H19" i="36"/>
  <c r="H18" i="36"/>
  <c r="H17" i="36"/>
  <c r="H16" i="36"/>
  <c r="H15" i="36"/>
  <c r="H14" i="36"/>
  <c r="H13" i="36"/>
  <c r="H12" i="36"/>
  <c r="H11" i="36"/>
  <c r="H10" i="36"/>
  <c r="I10" i="36" s="1"/>
  <c r="H9" i="36"/>
  <c r="I16" i="36" l="1"/>
  <c r="J16" i="36" s="1"/>
  <c r="I12" i="36"/>
  <c r="J12" i="36" s="1"/>
  <c r="I14" i="36"/>
  <c r="J14" i="36" s="1"/>
  <c r="I18" i="36"/>
  <c r="J18" i="36" s="1"/>
  <c r="J10" i="36"/>
  <c r="I9" i="36"/>
  <c r="I11" i="36"/>
  <c r="J11" i="36" s="1"/>
  <c r="I13" i="36"/>
  <c r="J13" i="36" s="1"/>
  <c r="I15" i="36"/>
  <c r="J15" i="36" s="1"/>
  <c r="I17" i="36"/>
  <c r="J17" i="36" s="1"/>
  <c r="I19" i="36"/>
  <c r="J19" i="36" s="1"/>
  <c r="I21" i="36" l="1"/>
  <c r="I22" i="36"/>
  <c r="J9" i="36"/>
  <c r="I23" i="36" l="1"/>
  <c r="J25" i="36"/>
  <c r="J26" i="36" s="1"/>
  <c r="J21" i="36"/>
  <c r="K9" i="36" s="1"/>
  <c r="J22" i="36"/>
  <c r="J23" i="36" l="1"/>
  <c r="K10" i="36"/>
  <c r="K17" i="36"/>
  <c r="K18" i="36"/>
  <c r="K16" i="36"/>
  <c r="K12" i="36"/>
  <c r="K19" i="36"/>
  <c r="K11" i="36"/>
  <c r="K15" i="36"/>
  <c r="K14" i="36"/>
  <c r="K13" i="36"/>
  <c r="K21" i="36" l="1"/>
  <c r="K24" i="36" s="1"/>
  <c r="H19" i="35" l="1"/>
  <c r="H18" i="35"/>
  <c r="H17" i="35"/>
  <c r="H16" i="35"/>
  <c r="H15" i="35"/>
  <c r="H14" i="35"/>
  <c r="H13" i="35"/>
  <c r="H12" i="35"/>
  <c r="H11" i="35"/>
  <c r="H10" i="35"/>
  <c r="I10" i="35" s="1"/>
  <c r="H9" i="35"/>
  <c r="H27" i="2"/>
  <c r="I18" i="35" l="1"/>
  <c r="J18" i="35" s="1"/>
  <c r="I12" i="35"/>
  <c r="I14" i="35"/>
  <c r="I16" i="35"/>
  <c r="J16" i="35" s="1"/>
  <c r="J10" i="35"/>
  <c r="J12" i="35"/>
  <c r="J14" i="35"/>
  <c r="I9" i="35"/>
  <c r="J9" i="35" s="1"/>
  <c r="I11" i="35"/>
  <c r="J11" i="35" s="1"/>
  <c r="I13" i="35"/>
  <c r="J13" i="35" s="1"/>
  <c r="I15" i="35"/>
  <c r="J15" i="35" s="1"/>
  <c r="I17" i="35"/>
  <c r="J17" i="35" s="1"/>
  <c r="I19" i="35"/>
  <c r="J19" i="35" s="1"/>
  <c r="I21" i="35" l="1"/>
  <c r="I22" i="35"/>
  <c r="J22" i="35"/>
  <c r="J21" i="35"/>
  <c r="K13" i="35" s="1"/>
  <c r="J25" i="35"/>
  <c r="J26" i="35" s="1"/>
  <c r="K9" i="35" l="1"/>
  <c r="I23" i="35"/>
  <c r="K18" i="35"/>
  <c r="K11" i="35"/>
  <c r="K14" i="35"/>
  <c r="J23" i="35"/>
  <c r="K10" i="35"/>
  <c r="K15" i="35"/>
  <c r="K19" i="35"/>
  <c r="K12" i="35"/>
  <c r="K17" i="35"/>
  <c r="K16" i="35"/>
  <c r="K21" i="35" l="1"/>
  <c r="K24" i="35" s="1"/>
  <c r="I28" i="34" l="1"/>
  <c r="J28" i="34" s="1"/>
  <c r="K28" i="34" s="1"/>
  <c r="I27" i="34"/>
  <c r="I26" i="34"/>
  <c r="I25" i="34"/>
  <c r="I24" i="34"/>
  <c r="J24" i="34" s="1"/>
  <c r="K24" i="34" s="1"/>
  <c r="I23" i="34"/>
  <c r="J23" i="34" s="1"/>
  <c r="I22" i="34"/>
  <c r="I21" i="34"/>
  <c r="I20" i="34"/>
  <c r="J20" i="34" s="1"/>
  <c r="K20" i="34" s="1"/>
  <c r="I19" i="34"/>
  <c r="I18" i="34"/>
  <c r="J18" i="34" s="1"/>
  <c r="K18" i="34" s="1"/>
  <c r="I17" i="34"/>
  <c r="I16" i="34"/>
  <c r="I15" i="34"/>
  <c r="J15" i="34" s="1"/>
  <c r="K15" i="34" s="1"/>
  <c r="I14" i="34"/>
  <c r="I13" i="34"/>
  <c r="J13" i="34" s="1"/>
  <c r="K13" i="34" s="1"/>
  <c r="I12" i="34"/>
  <c r="I11" i="34"/>
  <c r="I10" i="34"/>
  <c r="J10" i="34" s="1"/>
  <c r="K10" i="34" s="1"/>
  <c r="I9" i="34"/>
  <c r="I28" i="33"/>
  <c r="I27" i="33"/>
  <c r="I26" i="33"/>
  <c r="J26" i="33" s="1"/>
  <c r="K26" i="33" s="1"/>
  <c r="I25" i="33"/>
  <c r="I24" i="33"/>
  <c r="J24" i="33" s="1"/>
  <c r="K24" i="33" s="1"/>
  <c r="I23" i="33"/>
  <c r="J23" i="33" s="1"/>
  <c r="I22" i="33"/>
  <c r="I21" i="33"/>
  <c r="I20" i="33"/>
  <c r="I19" i="33"/>
  <c r="J19" i="33" s="1"/>
  <c r="K19" i="33" s="1"/>
  <c r="I18" i="33"/>
  <c r="I17" i="33"/>
  <c r="J17" i="33" s="1"/>
  <c r="I16" i="33"/>
  <c r="I15" i="33"/>
  <c r="I14" i="33"/>
  <c r="I13" i="33"/>
  <c r="I12" i="33"/>
  <c r="J12" i="33" s="1"/>
  <c r="I11" i="33"/>
  <c r="I10" i="33"/>
  <c r="I9" i="33"/>
  <c r="I28" i="32"/>
  <c r="J28" i="32" s="1"/>
  <c r="K28" i="32" s="1"/>
  <c r="I27" i="32"/>
  <c r="I26" i="32"/>
  <c r="J26" i="32" s="1"/>
  <c r="K26" i="32" s="1"/>
  <c r="I25" i="32"/>
  <c r="I24" i="32"/>
  <c r="I23" i="32"/>
  <c r="J23" i="32" s="1"/>
  <c r="K23" i="32" s="1"/>
  <c r="I22" i="32"/>
  <c r="J22" i="32" s="1"/>
  <c r="K22" i="32" s="1"/>
  <c r="I21" i="32"/>
  <c r="I20" i="32"/>
  <c r="J20" i="32" s="1"/>
  <c r="K20" i="32" s="1"/>
  <c r="I19" i="32"/>
  <c r="I18" i="32"/>
  <c r="I17" i="32"/>
  <c r="J17" i="32" s="1"/>
  <c r="K17" i="32" s="1"/>
  <c r="I16" i="32"/>
  <c r="I15" i="32"/>
  <c r="J15" i="32" s="1"/>
  <c r="K15" i="32" s="1"/>
  <c r="I14" i="32"/>
  <c r="I13" i="32"/>
  <c r="I12" i="32"/>
  <c r="J12" i="32" s="1"/>
  <c r="K12" i="32" s="1"/>
  <c r="I11" i="32"/>
  <c r="I10" i="32"/>
  <c r="J10" i="32" s="1"/>
  <c r="K10" i="32" s="1"/>
  <c r="I9" i="32"/>
  <c r="J21" i="34" l="1"/>
  <c r="K21" i="34" s="1"/>
  <c r="J26" i="34"/>
  <c r="K26" i="34" s="1"/>
  <c r="J17" i="34"/>
  <c r="J22" i="34"/>
  <c r="K22" i="34" s="1"/>
  <c r="K17" i="34"/>
  <c r="L17" i="34" s="1"/>
  <c r="J19" i="34"/>
  <c r="K19" i="34" s="1"/>
  <c r="L19" i="34" s="1"/>
  <c r="J12" i="34"/>
  <c r="K12" i="34" s="1"/>
  <c r="J9" i="34"/>
  <c r="K9" i="34" s="1"/>
  <c r="L9" i="34" s="1"/>
  <c r="J14" i="34"/>
  <c r="K14" i="34" s="1"/>
  <c r="K23" i="34"/>
  <c r="N23" i="34" s="1"/>
  <c r="J25" i="34"/>
  <c r="K25" i="34" s="1"/>
  <c r="J11" i="34"/>
  <c r="K11" i="34" s="1"/>
  <c r="J16" i="34"/>
  <c r="K16" i="34" s="1"/>
  <c r="L23" i="34"/>
  <c r="J27" i="34"/>
  <c r="K27" i="34" s="1"/>
  <c r="K17" i="33"/>
  <c r="J22" i="33"/>
  <c r="K22" i="33" s="1"/>
  <c r="J13" i="33"/>
  <c r="K13" i="33" s="1"/>
  <c r="J18" i="33"/>
  <c r="K18" i="33" s="1"/>
  <c r="J28" i="33"/>
  <c r="K28" i="33" s="1"/>
  <c r="J21" i="33"/>
  <c r="K21" i="33" s="1"/>
  <c r="K12" i="33"/>
  <c r="J14" i="33"/>
  <c r="K14" i="33" s="1"/>
  <c r="K23" i="33"/>
  <c r="L23" i="33" s="1"/>
  <c r="J25" i="33"/>
  <c r="K25" i="33" s="1"/>
  <c r="J9" i="33"/>
  <c r="K9" i="33" s="1"/>
  <c r="J11" i="33"/>
  <c r="K11" i="33" s="1"/>
  <c r="J16" i="33"/>
  <c r="K16" i="33" s="1"/>
  <c r="J27" i="33"/>
  <c r="K27" i="33" s="1"/>
  <c r="J10" i="33"/>
  <c r="K10" i="33" s="1"/>
  <c r="J15" i="33"/>
  <c r="K15" i="33" s="1"/>
  <c r="J20" i="33"/>
  <c r="K20" i="33" s="1"/>
  <c r="J19" i="32"/>
  <c r="K19" i="32" s="1"/>
  <c r="J24" i="32"/>
  <c r="K24" i="32" s="1"/>
  <c r="N23" i="32" s="1"/>
  <c r="J21" i="32"/>
  <c r="K21" i="32" s="1"/>
  <c r="L21" i="32" s="1"/>
  <c r="J9" i="32"/>
  <c r="K9" i="32" s="1"/>
  <c r="J14" i="32"/>
  <c r="K14" i="32" s="1"/>
  <c r="J25" i="32"/>
  <c r="K25" i="32" s="1"/>
  <c r="N25" i="32" s="1"/>
  <c r="J11" i="32"/>
  <c r="K11" i="32" s="1"/>
  <c r="J16" i="32"/>
  <c r="K16" i="32" s="1"/>
  <c r="J27" i="32"/>
  <c r="K27" i="32" s="1"/>
  <c r="L27" i="32" s="1"/>
  <c r="J13" i="32"/>
  <c r="K13" i="32" s="1"/>
  <c r="J18" i="32"/>
  <c r="K18" i="32" s="1"/>
  <c r="N17" i="32" s="1"/>
  <c r="L27" i="33" l="1"/>
  <c r="M27" i="33" s="1"/>
  <c r="N9" i="33"/>
  <c r="L17" i="33"/>
  <c r="M17" i="33" s="1"/>
  <c r="L15" i="34"/>
  <c r="M15" i="34" s="1"/>
  <c r="N15" i="34"/>
  <c r="N21" i="34"/>
  <c r="L21" i="34"/>
  <c r="M21" i="34" s="1"/>
  <c r="N17" i="34"/>
  <c r="L27" i="34"/>
  <c r="M27" i="34" s="1"/>
  <c r="N27" i="34"/>
  <c r="L25" i="34"/>
  <c r="M25" i="34" s="1"/>
  <c r="N25" i="34"/>
  <c r="N13" i="34"/>
  <c r="L13" i="34"/>
  <c r="M13" i="34" s="1"/>
  <c r="N9" i="34"/>
  <c r="N19" i="34"/>
  <c r="L11" i="34"/>
  <c r="M11" i="34" s="1"/>
  <c r="N11" i="34"/>
  <c r="M17" i="34"/>
  <c r="M9" i="34"/>
  <c r="M19" i="34"/>
  <c r="M23" i="34"/>
  <c r="N19" i="33"/>
  <c r="L19" i="33"/>
  <c r="M19" i="33" s="1"/>
  <c r="N21" i="33"/>
  <c r="L21" i="33"/>
  <c r="M21" i="33" s="1"/>
  <c r="N11" i="33"/>
  <c r="L11" i="33"/>
  <c r="M11" i="33" s="1"/>
  <c r="L13" i="33"/>
  <c r="M13" i="33" s="1"/>
  <c r="L9" i="33"/>
  <c r="M9" i="33" s="1"/>
  <c r="N27" i="33"/>
  <c r="N17" i="33"/>
  <c r="N15" i="33"/>
  <c r="L15" i="33"/>
  <c r="M15" i="33" s="1"/>
  <c r="L25" i="33"/>
  <c r="M25" i="33"/>
  <c r="N25" i="33"/>
  <c r="M23" i="33"/>
  <c r="N23" i="33"/>
  <c r="N13" i="33"/>
  <c r="M21" i="32"/>
  <c r="N9" i="32"/>
  <c r="L9" i="32"/>
  <c r="M9" i="32" s="1"/>
  <c r="N15" i="32"/>
  <c r="L15" i="32"/>
  <c r="M15" i="32" s="1"/>
  <c r="L19" i="32"/>
  <c r="M19" i="32" s="1"/>
  <c r="N19" i="32"/>
  <c r="L13" i="32"/>
  <c r="M13" i="32" s="1"/>
  <c r="N13" i="32"/>
  <c r="N21" i="32"/>
  <c r="M27" i="32"/>
  <c r="N27" i="32"/>
  <c r="L25" i="32"/>
  <c r="M25" i="32" s="1"/>
  <c r="L23" i="32"/>
  <c r="M23" i="32" s="1"/>
  <c r="N11" i="32"/>
  <c r="L11" i="32"/>
  <c r="M11" i="32" s="1"/>
  <c r="L17" i="32"/>
  <c r="M17" i="32" s="1"/>
  <c r="N29" i="34" l="1"/>
  <c r="M29" i="34"/>
  <c r="M30" i="34" s="1"/>
  <c r="M29" i="33"/>
  <c r="M30" i="33" s="1"/>
  <c r="N29" i="33"/>
  <c r="M29" i="32"/>
  <c r="M30" i="32" s="1"/>
  <c r="N29" i="32"/>
  <c r="M33" i="32" l="1"/>
  <c r="M33" i="34"/>
  <c r="M33" i="33"/>
  <c r="I28" i="31" l="1"/>
  <c r="J28" i="31" s="1"/>
  <c r="I27" i="31"/>
  <c r="I26" i="31"/>
  <c r="I25" i="31"/>
  <c r="I24" i="31"/>
  <c r="J24" i="31" s="1"/>
  <c r="K24" i="31" s="1"/>
  <c r="I23" i="31"/>
  <c r="I22" i="31"/>
  <c r="J22" i="31" s="1"/>
  <c r="K22" i="31" s="1"/>
  <c r="I21" i="31"/>
  <c r="I20" i="31"/>
  <c r="J20" i="31" s="1"/>
  <c r="I19" i="31"/>
  <c r="J19" i="31" s="1"/>
  <c r="K19" i="31" s="1"/>
  <c r="I18" i="31"/>
  <c r="J18" i="31" s="1"/>
  <c r="K18" i="31" s="1"/>
  <c r="I17" i="31"/>
  <c r="J17" i="31" s="1"/>
  <c r="K17" i="31" s="1"/>
  <c r="I16" i="31"/>
  <c r="J16" i="31" s="1"/>
  <c r="K16" i="31" s="1"/>
  <c r="I15" i="31"/>
  <c r="I14" i="31"/>
  <c r="I13" i="31"/>
  <c r="J13" i="31" s="1"/>
  <c r="K13" i="31" s="1"/>
  <c r="I12" i="31"/>
  <c r="I11" i="31"/>
  <c r="I10" i="31"/>
  <c r="I9" i="31"/>
  <c r="I28" i="30"/>
  <c r="I27" i="30"/>
  <c r="I26" i="30"/>
  <c r="I25" i="30"/>
  <c r="I24" i="30"/>
  <c r="J24" i="30" s="1"/>
  <c r="K24" i="30" s="1"/>
  <c r="I23" i="30"/>
  <c r="J23" i="30" s="1"/>
  <c r="I22" i="30"/>
  <c r="I21" i="30"/>
  <c r="I20" i="30"/>
  <c r="I19" i="30"/>
  <c r="J19" i="30" s="1"/>
  <c r="K19" i="30" s="1"/>
  <c r="I18" i="30"/>
  <c r="I17" i="30"/>
  <c r="I16" i="30"/>
  <c r="J16" i="30" s="1"/>
  <c r="K16" i="30" s="1"/>
  <c r="I15" i="30"/>
  <c r="I14" i="30"/>
  <c r="I13" i="30"/>
  <c r="I12" i="30"/>
  <c r="J12" i="30" s="1"/>
  <c r="I11" i="30"/>
  <c r="I10" i="30"/>
  <c r="I9" i="30"/>
  <c r="K20" i="31" l="1"/>
  <c r="N19" i="31" s="1"/>
  <c r="L17" i="31"/>
  <c r="M17" i="31" s="1"/>
  <c r="J10" i="31"/>
  <c r="K10" i="31" s="1"/>
  <c r="J21" i="31"/>
  <c r="K21" i="31" s="1"/>
  <c r="J26" i="31"/>
  <c r="K26" i="31" s="1"/>
  <c r="J25" i="31"/>
  <c r="K25" i="31" s="1"/>
  <c r="K28" i="31"/>
  <c r="J23" i="31"/>
  <c r="K23" i="31" s="1"/>
  <c r="L23" i="31" s="1"/>
  <c r="J9" i="31"/>
  <c r="J14" i="31"/>
  <c r="K14" i="31" s="1"/>
  <c r="N17" i="31"/>
  <c r="K9" i="31"/>
  <c r="J11" i="31"/>
  <c r="K11" i="31" s="1"/>
  <c r="J27" i="31"/>
  <c r="K27" i="31" s="1"/>
  <c r="J12" i="31"/>
  <c r="K12" i="31" s="1"/>
  <c r="J15" i="31"/>
  <c r="K15" i="31" s="1"/>
  <c r="J13" i="30"/>
  <c r="K13" i="30" s="1"/>
  <c r="J18" i="30"/>
  <c r="K18" i="30" s="1"/>
  <c r="J17" i="30"/>
  <c r="K17" i="30" s="1"/>
  <c r="J22" i="30"/>
  <c r="K22" i="30" s="1"/>
  <c r="J28" i="30"/>
  <c r="K28" i="30" s="1"/>
  <c r="J21" i="30"/>
  <c r="K21" i="30" s="1"/>
  <c r="J26" i="30"/>
  <c r="K26" i="30" s="1"/>
  <c r="J9" i="30"/>
  <c r="K9" i="30" s="1"/>
  <c r="K12" i="30"/>
  <c r="J14" i="30"/>
  <c r="K14" i="30" s="1"/>
  <c r="K23" i="30"/>
  <c r="L23" i="30" s="1"/>
  <c r="M23" i="30" s="1"/>
  <c r="J25" i="30"/>
  <c r="K25" i="30" s="1"/>
  <c r="J11" i="30"/>
  <c r="K11" i="30" s="1"/>
  <c r="J27" i="30"/>
  <c r="K27" i="30" s="1"/>
  <c r="J10" i="30"/>
  <c r="K10" i="30" s="1"/>
  <c r="J15" i="30"/>
  <c r="K15" i="30" s="1"/>
  <c r="J20" i="30"/>
  <c r="K20" i="30" s="1"/>
  <c r="N19" i="30" s="1"/>
  <c r="N25" i="30" l="1"/>
  <c r="N27" i="30"/>
  <c r="N27" i="31"/>
  <c r="N11" i="30"/>
  <c r="N9" i="31"/>
  <c r="L19" i="31"/>
  <c r="M19" i="31" s="1"/>
  <c r="L11" i="31"/>
  <c r="M11" i="31" s="1"/>
  <c r="N25" i="31"/>
  <c r="L25" i="31"/>
  <c r="M25" i="31" s="1"/>
  <c r="N21" i="31"/>
  <c r="L21" i="31"/>
  <c r="M21" i="31" s="1"/>
  <c r="L13" i="31"/>
  <c r="M13" i="31" s="1"/>
  <c r="N13" i="31"/>
  <c r="M23" i="31"/>
  <c r="N23" i="31"/>
  <c r="N15" i="31"/>
  <c r="L15" i="31"/>
  <c r="M15" i="31" s="1"/>
  <c r="L9" i="31"/>
  <c r="M9" i="31" s="1"/>
  <c r="L27" i="31"/>
  <c r="M27" i="31" s="1"/>
  <c r="N11" i="31"/>
  <c r="N17" i="30"/>
  <c r="L17" i="30"/>
  <c r="M17" i="30" s="1"/>
  <c r="N21" i="30"/>
  <c r="L21" i="30"/>
  <c r="M21" i="30" s="1"/>
  <c r="L25" i="30"/>
  <c r="M25" i="30" s="1"/>
  <c r="N23" i="30"/>
  <c r="L27" i="30"/>
  <c r="M27" i="30" s="1"/>
  <c r="N15" i="30"/>
  <c r="L15" i="30"/>
  <c r="M15" i="30" s="1"/>
  <c r="N9" i="30"/>
  <c r="L9" i="30"/>
  <c r="M9" i="30" s="1"/>
  <c r="L13" i="30"/>
  <c r="M13" i="30" s="1"/>
  <c r="N13" i="30"/>
  <c r="L11" i="30"/>
  <c r="M11" i="30" s="1"/>
  <c r="L19" i="30"/>
  <c r="M19" i="30" s="1"/>
  <c r="N29" i="31" l="1"/>
  <c r="M29" i="31"/>
  <c r="M30" i="31" s="1"/>
  <c r="M29" i="30"/>
  <c r="M30" i="30" s="1"/>
  <c r="N29" i="30"/>
  <c r="M33" i="31" l="1"/>
  <c r="M33" i="30"/>
  <c r="I28" i="29" l="1"/>
  <c r="I27" i="29"/>
  <c r="I26" i="29"/>
  <c r="J26" i="29" s="1"/>
  <c r="K26" i="29" s="1"/>
  <c r="I25" i="29"/>
  <c r="I24" i="29"/>
  <c r="I23" i="29"/>
  <c r="I22" i="29"/>
  <c r="J22" i="29" s="1"/>
  <c r="K22" i="29" s="1"/>
  <c r="I21" i="29"/>
  <c r="I20" i="29"/>
  <c r="I19" i="29"/>
  <c r="I18" i="29"/>
  <c r="J18" i="29" s="1"/>
  <c r="K18" i="29" s="1"/>
  <c r="I17" i="29"/>
  <c r="J17" i="29" s="1"/>
  <c r="K17" i="29" s="1"/>
  <c r="I16" i="29"/>
  <c r="I15" i="29"/>
  <c r="I14" i="29"/>
  <c r="I13" i="29"/>
  <c r="I12" i="29"/>
  <c r="I11" i="29"/>
  <c r="I10" i="29"/>
  <c r="I9" i="29"/>
  <c r="J11" i="29" l="1"/>
  <c r="K11" i="29" s="1"/>
  <c r="J15" i="29"/>
  <c r="K15" i="29" s="1"/>
  <c r="J12" i="29"/>
  <c r="K12" i="29" s="1"/>
  <c r="J16" i="29"/>
  <c r="K16" i="29" s="1"/>
  <c r="J19" i="29"/>
  <c r="K19" i="29" s="1"/>
  <c r="J28" i="29"/>
  <c r="K28" i="29" s="1"/>
  <c r="N17" i="29"/>
  <c r="J25" i="29"/>
  <c r="K25" i="29" s="1"/>
  <c r="N25" i="29" s="1"/>
  <c r="J9" i="29"/>
  <c r="K9" i="29" s="1"/>
  <c r="J23" i="29"/>
  <c r="K23" i="29" s="1"/>
  <c r="J13" i="29"/>
  <c r="K13" i="29" s="1"/>
  <c r="J20" i="29"/>
  <c r="K20" i="29" s="1"/>
  <c r="J24" i="29"/>
  <c r="K24" i="29" s="1"/>
  <c r="J10" i="29"/>
  <c r="K10" i="29" s="1"/>
  <c r="J14" i="29"/>
  <c r="K14" i="29" s="1"/>
  <c r="L17" i="29"/>
  <c r="M17" i="29" s="1"/>
  <c r="J21" i="29"/>
  <c r="K21" i="29" s="1"/>
  <c r="L21" i="29"/>
  <c r="J27" i="29"/>
  <c r="K27" i="29"/>
  <c r="L23" i="29" l="1"/>
  <c r="M23" i="29" s="1"/>
  <c r="M21" i="29"/>
  <c r="L19" i="29"/>
  <c r="M19" i="29" s="1"/>
  <c r="N21" i="29"/>
  <c r="L9" i="29"/>
  <c r="N9" i="29"/>
  <c r="M9" i="29"/>
  <c r="N13" i="29"/>
  <c r="L13" i="29"/>
  <c r="M13" i="29" s="1"/>
  <c r="N27" i="29"/>
  <c r="N15" i="29"/>
  <c r="L15" i="29"/>
  <c r="M15" i="29" s="1"/>
  <c r="N11" i="29"/>
  <c r="L11" i="29"/>
  <c r="M11" i="29" s="1"/>
  <c r="N23" i="29"/>
  <c r="N19" i="29"/>
  <c r="L27" i="29"/>
  <c r="M27" i="29" s="1"/>
  <c r="L25" i="29"/>
  <c r="M25" i="29" s="1"/>
  <c r="M29" i="29" l="1"/>
  <c r="M30" i="29" s="1"/>
  <c r="N29" i="29"/>
  <c r="M33" i="29" l="1"/>
  <c r="H9" i="2" l="1"/>
  <c r="H12" i="2"/>
  <c r="H14" i="2"/>
  <c r="H13" i="2"/>
  <c r="H19" i="28" l="1"/>
  <c r="H18" i="28"/>
  <c r="I18" i="28" s="1"/>
  <c r="J18" i="28" s="1"/>
  <c r="H17" i="28"/>
  <c r="H16" i="28"/>
  <c r="I16" i="28" s="1"/>
  <c r="J16" i="28" s="1"/>
  <c r="H15" i="28"/>
  <c r="H14" i="28"/>
  <c r="I14" i="28" s="1"/>
  <c r="J14" i="28" s="1"/>
  <c r="H13" i="28"/>
  <c r="H12" i="28"/>
  <c r="I12" i="28" s="1"/>
  <c r="J12" i="28" s="1"/>
  <c r="H11" i="28"/>
  <c r="H10" i="28"/>
  <c r="I10" i="28" s="1"/>
  <c r="J10" i="28" s="1"/>
  <c r="H9" i="28"/>
  <c r="H19" i="27"/>
  <c r="H18" i="27"/>
  <c r="I18" i="27" s="1"/>
  <c r="J18" i="27" s="1"/>
  <c r="H17" i="27"/>
  <c r="H16" i="27"/>
  <c r="I16" i="27" s="1"/>
  <c r="J16" i="27" s="1"/>
  <c r="H15" i="27"/>
  <c r="H14" i="27"/>
  <c r="I14" i="27" s="1"/>
  <c r="J14" i="27" s="1"/>
  <c r="H13" i="27"/>
  <c r="H12" i="27"/>
  <c r="I12" i="27" s="1"/>
  <c r="J12" i="27" s="1"/>
  <c r="H11" i="27"/>
  <c r="H10" i="27"/>
  <c r="I10" i="27" s="1"/>
  <c r="J10" i="27" s="1"/>
  <c r="H9" i="27"/>
  <c r="I9" i="28" l="1"/>
  <c r="I11" i="28"/>
  <c r="J11" i="28" s="1"/>
  <c r="I13" i="28"/>
  <c r="J13" i="28" s="1"/>
  <c r="I15" i="28"/>
  <c r="J15" i="28" s="1"/>
  <c r="I17" i="28"/>
  <c r="J17" i="28" s="1"/>
  <c r="I19" i="28"/>
  <c r="J19" i="28" s="1"/>
  <c r="I9" i="27"/>
  <c r="J9" i="27" s="1"/>
  <c r="I13" i="27"/>
  <c r="J13" i="27" s="1"/>
  <c r="I19" i="27"/>
  <c r="J19" i="27" s="1"/>
  <c r="I11" i="27"/>
  <c r="J11" i="27" s="1"/>
  <c r="I15" i="27"/>
  <c r="J15" i="27" s="1"/>
  <c r="I17" i="27"/>
  <c r="J17" i="27" s="1"/>
  <c r="I21" i="28" l="1"/>
  <c r="I22" i="28"/>
  <c r="I23" i="28" s="1"/>
  <c r="J9" i="28"/>
  <c r="I21" i="27"/>
  <c r="I22" i="27"/>
  <c r="I23" i="27" s="1"/>
  <c r="J25" i="27"/>
  <c r="J26" i="27" s="1"/>
  <c r="J21" i="27"/>
  <c r="K17" i="27" s="1"/>
  <c r="J22" i="27"/>
  <c r="J23" i="27" l="1"/>
  <c r="J25" i="28"/>
  <c r="J26" i="28" s="1"/>
  <c r="J22" i="28"/>
  <c r="J23" i="28" s="1"/>
  <c r="J21" i="28"/>
  <c r="K9" i="27"/>
  <c r="K19" i="27"/>
  <c r="K11" i="27"/>
  <c r="K13" i="27"/>
  <c r="K12" i="27"/>
  <c r="K18" i="27"/>
  <c r="K10" i="27"/>
  <c r="K14" i="27"/>
  <c r="K16" i="27"/>
  <c r="K15" i="27"/>
  <c r="K16" i="28" l="1"/>
  <c r="K18" i="28"/>
  <c r="K10" i="28"/>
  <c r="K14" i="28"/>
  <c r="K12" i="28"/>
  <c r="K17" i="28"/>
  <c r="K19" i="28"/>
  <c r="K11" i="28"/>
  <c r="K13" i="28"/>
  <c r="K15" i="28"/>
  <c r="K9" i="28"/>
  <c r="K21" i="27"/>
  <c r="K24" i="27" s="1"/>
  <c r="K21" i="28" l="1"/>
  <c r="K24" i="28" s="1"/>
  <c r="H19" i="26" l="1"/>
  <c r="H18" i="26"/>
  <c r="I18" i="26" s="1"/>
  <c r="H17" i="26"/>
  <c r="H16" i="26"/>
  <c r="H15" i="26"/>
  <c r="H14" i="26"/>
  <c r="H13" i="26"/>
  <c r="H12" i="26"/>
  <c r="H11" i="26"/>
  <c r="H10" i="26"/>
  <c r="I10" i="26" s="1"/>
  <c r="H9" i="26"/>
  <c r="I12" i="26" l="1"/>
  <c r="J12" i="26" s="1"/>
  <c r="J10" i="26"/>
  <c r="J18" i="26"/>
  <c r="I14" i="26"/>
  <c r="J14" i="26" s="1"/>
  <c r="I16" i="26"/>
  <c r="J16" i="26" s="1"/>
  <c r="I9" i="26"/>
  <c r="J9" i="26" s="1"/>
  <c r="I11" i="26"/>
  <c r="J11" i="26" s="1"/>
  <c r="I13" i="26"/>
  <c r="J13" i="26" s="1"/>
  <c r="I15" i="26"/>
  <c r="J15" i="26" s="1"/>
  <c r="I17" i="26"/>
  <c r="J17" i="26" s="1"/>
  <c r="I19" i="26"/>
  <c r="J19" i="26" s="1"/>
  <c r="H11" i="2"/>
  <c r="H17" i="2"/>
  <c r="H18" i="2"/>
  <c r="H16" i="2"/>
  <c r="H15" i="2"/>
  <c r="H20" i="2"/>
  <c r="H22" i="2"/>
  <c r="H21" i="2"/>
  <c r="H24" i="2"/>
  <c r="H25" i="2"/>
  <c r="H28" i="2"/>
  <c r="H29" i="2"/>
  <c r="H26" i="2"/>
  <c r="H30" i="2"/>
  <c r="J25" i="26" l="1"/>
  <c r="J26" i="26" s="1"/>
  <c r="J22" i="26"/>
  <c r="J21" i="26"/>
  <c r="K19" i="26" s="1"/>
  <c r="I21" i="26"/>
  <c r="I22" i="26"/>
  <c r="J23" i="26" l="1"/>
  <c r="I23" i="26"/>
  <c r="K9" i="26"/>
  <c r="K12" i="26"/>
  <c r="K13" i="26"/>
  <c r="K14" i="26"/>
  <c r="K11" i="26"/>
  <c r="K15" i="26"/>
  <c r="K16" i="26"/>
  <c r="K10" i="26"/>
  <c r="K17" i="26"/>
  <c r="K18" i="26"/>
  <c r="K21" i="26" l="1"/>
  <c r="K24" i="26" s="1"/>
  <c r="H19" i="25" l="1"/>
  <c r="H18" i="25"/>
  <c r="H17" i="25"/>
  <c r="H16" i="25"/>
  <c r="H15" i="25"/>
  <c r="H14" i="25"/>
  <c r="H13" i="25"/>
  <c r="H12" i="25"/>
  <c r="H11" i="25"/>
  <c r="H10" i="25"/>
  <c r="H9" i="25"/>
  <c r="I9" i="25" l="1"/>
  <c r="J9" i="25" s="1"/>
  <c r="I10" i="25"/>
  <c r="J10" i="25" s="1"/>
  <c r="I11" i="25"/>
  <c r="J11" i="25" s="1"/>
  <c r="I12" i="25"/>
  <c r="J12" i="25" s="1"/>
  <c r="I13" i="25"/>
  <c r="J13" i="25" s="1"/>
  <c r="I14" i="25"/>
  <c r="J14" i="25" s="1"/>
  <c r="I15" i="25"/>
  <c r="J15" i="25" s="1"/>
  <c r="I16" i="25"/>
  <c r="J16" i="25" s="1"/>
  <c r="I17" i="25"/>
  <c r="J17" i="25" s="1"/>
  <c r="I18" i="25"/>
  <c r="J18" i="25" s="1"/>
  <c r="I19" i="25"/>
  <c r="J19" i="25" s="1"/>
  <c r="J21" i="25" l="1"/>
  <c r="K18" i="25" s="1"/>
  <c r="J25" i="25"/>
  <c r="J26" i="25" s="1"/>
  <c r="J22" i="25"/>
  <c r="I22" i="25"/>
  <c r="I21" i="25"/>
  <c r="I23" i="25" l="1"/>
  <c r="J23" i="25"/>
  <c r="K9" i="25"/>
  <c r="K11" i="25"/>
  <c r="K15" i="25"/>
  <c r="K19" i="25"/>
  <c r="K12" i="25"/>
  <c r="K16" i="25"/>
  <c r="K13" i="25"/>
  <c r="K17" i="25"/>
  <c r="K10" i="25"/>
  <c r="K14" i="25"/>
  <c r="K21" i="25" l="1"/>
  <c r="K24" i="25" s="1"/>
  <c r="H19" i="24"/>
  <c r="H18" i="24"/>
  <c r="H17" i="24"/>
  <c r="H16" i="24"/>
  <c r="I16" i="24" s="1"/>
  <c r="H15" i="24"/>
  <c r="H14" i="24"/>
  <c r="I14" i="24" s="1"/>
  <c r="H13" i="24"/>
  <c r="H12" i="24"/>
  <c r="I12" i="24" s="1"/>
  <c r="H11" i="24"/>
  <c r="H10" i="24"/>
  <c r="H9" i="24"/>
  <c r="I9" i="24" s="1"/>
  <c r="H19" i="23"/>
  <c r="H18" i="23"/>
  <c r="H17" i="23"/>
  <c r="H16" i="23"/>
  <c r="H15" i="23"/>
  <c r="H14" i="23"/>
  <c r="H13" i="23"/>
  <c r="H12" i="23"/>
  <c r="H11" i="23"/>
  <c r="H10" i="23"/>
  <c r="H9" i="23"/>
  <c r="I17" i="24" l="1"/>
  <c r="J17" i="24" s="1"/>
  <c r="J9" i="24"/>
  <c r="I10" i="24"/>
  <c r="I18" i="24"/>
  <c r="J18" i="24" s="1"/>
  <c r="J14" i="24"/>
  <c r="I13" i="24"/>
  <c r="J13" i="24" s="1"/>
  <c r="I11" i="24"/>
  <c r="J11" i="24" s="1"/>
  <c r="I15" i="24"/>
  <c r="J15" i="24" s="1"/>
  <c r="I19" i="24"/>
  <c r="J19" i="24" s="1"/>
  <c r="J12" i="24"/>
  <c r="J16" i="24"/>
  <c r="I9" i="23"/>
  <c r="J9" i="23" s="1"/>
  <c r="I10" i="23"/>
  <c r="J10" i="23" s="1"/>
  <c r="I11" i="23"/>
  <c r="J11" i="23" s="1"/>
  <c r="I12" i="23"/>
  <c r="J12" i="23" s="1"/>
  <c r="I13" i="23"/>
  <c r="J13" i="23" s="1"/>
  <c r="I14" i="23"/>
  <c r="J14" i="23" s="1"/>
  <c r="I15" i="23"/>
  <c r="J15" i="23" s="1"/>
  <c r="I16" i="23"/>
  <c r="J16" i="23" s="1"/>
  <c r="I17" i="23"/>
  <c r="J17" i="23" s="1"/>
  <c r="I18" i="23"/>
  <c r="J18" i="23" s="1"/>
  <c r="I19" i="23"/>
  <c r="J19" i="23" s="1"/>
  <c r="I21" i="24" l="1"/>
  <c r="I22" i="24"/>
  <c r="I23" i="24" s="1"/>
  <c r="J10" i="24"/>
  <c r="J21" i="23"/>
  <c r="K17" i="23" s="1"/>
  <c r="J25" i="23"/>
  <c r="J26" i="23" s="1"/>
  <c r="J22" i="23"/>
  <c r="I22" i="23"/>
  <c r="I23" i="23" s="1"/>
  <c r="I21" i="23"/>
  <c r="K19" i="23" l="1"/>
  <c r="K12" i="23"/>
  <c r="K11" i="23"/>
  <c r="K16" i="23"/>
  <c r="J25" i="24"/>
  <c r="J26" i="24" s="1"/>
  <c r="J22" i="24"/>
  <c r="J21" i="24"/>
  <c r="K13" i="23"/>
  <c r="K9" i="23"/>
  <c r="J23" i="23"/>
  <c r="K15" i="23"/>
  <c r="K10" i="23"/>
  <c r="K14" i="23"/>
  <c r="K18" i="23"/>
  <c r="J23" i="24" l="1"/>
  <c r="K9" i="24"/>
  <c r="K16" i="24"/>
  <c r="K14" i="24"/>
  <c r="K12" i="24"/>
  <c r="K17" i="24"/>
  <c r="K13" i="24"/>
  <c r="K18" i="24"/>
  <c r="K15" i="24"/>
  <c r="K11" i="24"/>
  <c r="K19" i="24"/>
  <c r="K10" i="24"/>
  <c r="K21" i="23"/>
  <c r="K24" i="23" s="1"/>
  <c r="H19" i="22"/>
  <c r="H18" i="22"/>
  <c r="H17" i="22"/>
  <c r="H16" i="22"/>
  <c r="H15" i="22"/>
  <c r="H14" i="22"/>
  <c r="H13" i="22"/>
  <c r="H12" i="22"/>
  <c r="H11" i="22"/>
  <c r="H10" i="22"/>
  <c r="H9" i="22"/>
  <c r="K21" i="24" l="1"/>
  <c r="K24" i="24" s="1"/>
  <c r="I9" i="22"/>
  <c r="J9" i="22" s="1"/>
  <c r="I10" i="22"/>
  <c r="J10" i="22" s="1"/>
  <c r="I11" i="22"/>
  <c r="J11" i="22" s="1"/>
  <c r="I12" i="22"/>
  <c r="J12" i="22" s="1"/>
  <c r="I13" i="22"/>
  <c r="J13" i="22" s="1"/>
  <c r="I14" i="22"/>
  <c r="J14" i="22" s="1"/>
  <c r="I15" i="22"/>
  <c r="J15" i="22" s="1"/>
  <c r="I16" i="22"/>
  <c r="J16" i="22" s="1"/>
  <c r="I17" i="22"/>
  <c r="J17" i="22" s="1"/>
  <c r="I18" i="22"/>
  <c r="J18" i="22" s="1"/>
  <c r="I19" i="22"/>
  <c r="J19" i="22" s="1"/>
  <c r="J21" i="22" l="1"/>
  <c r="K18" i="22" s="1"/>
  <c r="J25" i="22"/>
  <c r="J26" i="22" s="1"/>
  <c r="J22" i="22"/>
  <c r="I22" i="22"/>
  <c r="I21" i="22"/>
  <c r="J23" i="22" l="1"/>
  <c r="K13" i="22"/>
  <c r="K11" i="22"/>
  <c r="K19" i="22"/>
  <c r="K12" i="22"/>
  <c r="K9" i="22"/>
  <c r="K16" i="22"/>
  <c r="I23" i="22"/>
  <c r="K17" i="22"/>
  <c r="K15" i="22"/>
  <c r="K10" i="22"/>
  <c r="K14" i="22"/>
  <c r="K21" i="22" l="1"/>
  <c r="K24" i="22" s="1"/>
  <c r="H19" i="21"/>
  <c r="H18" i="21"/>
  <c r="H17" i="21"/>
  <c r="I17" i="21" s="1"/>
  <c r="H16" i="21"/>
  <c r="I16" i="21" s="1"/>
  <c r="H15" i="21"/>
  <c r="H14" i="21"/>
  <c r="I14" i="21" s="1"/>
  <c r="H13" i="21"/>
  <c r="H12" i="21"/>
  <c r="I12" i="21" s="1"/>
  <c r="H11" i="21"/>
  <c r="H10" i="21"/>
  <c r="I10" i="21" s="1"/>
  <c r="H9" i="21"/>
  <c r="I9" i="21" l="1"/>
  <c r="I18" i="21"/>
  <c r="J18" i="21" s="1"/>
  <c r="J14" i="21"/>
  <c r="I13" i="21"/>
  <c r="J13" i="21" s="1"/>
  <c r="I11" i="21"/>
  <c r="J11" i="21" s="1"/>
  <c r="I15" i="21"/>
  <c r="J15" i="21" s="1"/>
  <c r="I19" i="21"/>
  <c r="J19" i="21" s="1"/>
  <c r="J17" i="21"/>
  <c r="J10" i="21"/>
  <c r="J12" i="21"/>
  <c r="J16" i="21"/>
  <c r="I22" i="21" l="1"/>
  <c r="I21" i="21"/>
  <c r="I23" i="21" s="1"/>
  <c r="J9" i="21"/>
  <c r="J22" i="21" l="1"/>
  <c r="J25" i="21"/>
  <c r="J26" i="21" s="1"/>
  <c r="J21" i="21"/>
  <c r="H19" i="20"/>
  <c r="H18" i="20"/>
  <c r="H17" i="20"/>
  <c r="H16" i="20"/>
  <c r="H15" i="20"/>
  <c r="I15" i="20" s="1"/>
  <c r="H14" i="20"/>
  <c r="I14" i="20" s="1"/>
  <c r="H13" i="20"/>
  <c r="H12" i="20"/>
  <c r="H11" i="20"/>
  <c r="I11" i="20" s="1"/>
  <c r="H10" i="20"/>
  <c r="I10" i="20" s="1"/>
  <c r="H9" i="20"/>
  <c r="I18" i="20" l="1"/>
  <c r="J18" i="20" s="1"/>
  <c r="J10" i="20"/>
  <c r="J15" i="20"/>
  <c r="I19" i="20"/>
  <c r="J19" i="20" s="1"/>
  <c r="K16" i="21"/>
  <c r="K12" i="21"/>
  <c r="K19" i="21"/>
  <c r="K13" i="21"/>
  <c r="K10" i="21"/>
  <c r="K11" i="21"/>
  <c r="K15" i="21"/>
  <c r="K14" i="21"/>
  <c r="K17" i="21"/>
  <c r="K18" i="21"/>
  <c r="I12" i="20"/>
  <c r="J12" i="20" s="1"/>
  <c r="I16" i="20"/>
  <c r="J16" i="20" s="1"/>
  <c r="K9" i="21"/>
  <c r="J11" i="20"/>
  <c r="J14" i="20"/>
  <c r="I9" i="20"/>
  <c r="I13" i="20"/>
  <c r="J13" i="20" s="1"/>
  <c r="I17" i="20"/>
  <c r="J17" i="20" s="1"/>
  <c r="J23" i="21"/>
  <c r="I22" i="20" l="1"/>
  <c r="I21" i="20"/>
  <c r="I23" i="20" s="1"/>
  <c r="K21" i="21"/>
  <c r="K24" i="21" s="1"/>
  <c r="J9" i="20"/>
  <c r="J21" i="20" l="1"/>
  <c r="J25" i="20"/>
  <c r="J26" i="20" s="1"/>
  <c r="J22" i="20"/>
  <c r="J23" i="20" s="1"/>
  <c r="H19" i="19"/>
  <c r="H18" i="19"/>
  <c r="I18" i="19" s="1"/>
  <c r="H17" i="19"/>
  <c r="I17" i="19" s="1"/>
  <c r="H16" i="19"/>
  <c r="H15" i="19"/>
  <c r="I15" i="19" s="1"/>
  <c r="H14" i="19"/>
  <c r="I14" i="19" s="1"/>
  <c r="H13" i="19"/>
  <c r="I13" i="19" s="1"/>
  <c r="H12" i="19"/>
  <c r="H11" i="19"/>
  <c r="I11" i="19" s="1"/>
  <c r="H10" i="19"/>
  <c r="H9" i="19"/>
  <c r="I9" i="19" s="1"/>
  <c r="I10" i="19" l="1"/>
  <c r="J10" i="19" s="1"/>
  <c r="I19" i="19"/>
  <c r="J19" i="19" s="1"/>
  <c r="J14" i="19"/>
  <c r="J15" i="19"/>
  <c r="I12" i="19"/>
  <c r="I16" i="19"/>
  <c r="J16" i="19" s="1"/>
  <c r="J18" i="19"/>
  <c r="J11" i="19"/>
  <c r="J9" i="19"/>
  <c r="J13" i="19"/>
  <c r="J17" i="19"/>
  <c r="K9" i="20"/>
  <c r="K14" i="20"/>
  <c r="K10" i="20"/>
  <c r="K19" i="20"/>
  <c r="K12" i="20"/>
  <c r="K18" i="20"/>
  <c r="K17" i="20"/>
  <c r="K15" i="20"/>
  <c r="K16" i="20"/>
  <c r="K13" i="20"/>
  <c r="K11" i="20"/>
  <c r="I22" i="19" l="1"/>
  <c r="J12" i="19"/>
  <c r="J22" i="19" s="1"/>
  <c r="I21" i="19"/>
  <c r="I23" i="19" s="1"/>
  <c r="K21" i="20"/>
  <c r="K24" i="20" s="1"/>
  <c r="J25" i="19" l="1"/>
  <c r="J26" i="19" s="1"/>
  <c r="J21" i="19"/>
  <c r="J23" i="19"/>
  <c r="E28" i="18"/>
  <c r="I28" i="18" s="1"/>
  <c r="E27" i="18"/>
  <c r="I27" i="18" s="1"/>
  <c r="E26" i="18"/>
  <c r="I26" i="18" s="1"/>
  <c r="J26" i="18" s="1"/>
  <c r="E25" i="18"/>
  <c r="I25" i="18" s="1"/>
  <c r="E24" i="18"/>
  <c r="I24" i="18" s="1"/>
  <c r="E23" i="18"/>
  <c r="I23" i="18" s="1"/>
  <c r="H22" i="18"/>
  <c r="E22" i="18"/>
  <c r="I22" i="18" s="1"/>
  <c r="H21" i="18"/>
  <c r="E21" i="18"/>
  <c r="H20" i="18"/>
  <c r="E20" i="18"/>
  <c r="H19" i="18"/>
  <c r="E19" i="18"/>
  <c r="I18" i="18"/>
  <c r="I17" i="18"/>
  <c r="I16" i="18"/>
  <c r="I15" i="18"/>
  <c r="H14" i="18"/>
  <c r="I14" i="18" s="1"/>
  <c r="H13" i="18"/>
  <c r="I13" i="18" s="1"/>
  <c r="H12" i="18"/>
  <c r="E12" i="18"/>
  <c r="H11" i="18"/>
  <c r="E11" i="18"/>
  <c r="H10" i="18"/>
  <c r="E10" i="18"/>
  <c r="H9" i="18"/>
  <c r="E9" i="18"/>
  <c r="I28" i="17"/>
  <c r="I27" i="17"/>
  <c r="I26" i="17"/>
  <c r="J26" i="17" s="1"/>
  <c r="I25" i="17"/>
  <c r="J25" i="17" s="1"/>
  <c r="I24" i="17"/>
  <c r="I23" i="17"/>
  <c r="I22" i="17"/>
  <c r="I21" i="17"/>
  <c r="J21" i="17" s="1"/>
  <c r="I20" i="17"/>
  <c r="I19" i="17"/>
  <c r="I18" i="17"/>
  <c r="J18" i="17" s="1"/>
  <c r="I17" i="17"/>
  <c r="J17" i="17" s="1"/>
  <c r="I16" i="17"/>
  <c r="J16" i="17" s="1"/>
  <c r="I15" i="17"/>
  <c r="E14" i="17"/>
  <c r="I14" i="17" s="1"/>
  <c r="E13" i="17"/>
  <c r="I13" i="17" s="1"/>
  <c r="H12" i="17"/>
  <c r="E12" i="17"/>
  <c r="H11" i="17"/>
  <c r="E11" i="17"/>
  <c r="I11" i="17" s="1"/>
  <c r="I10" i="17"/>
  <c r="J10" i="17" s="1"/>
  <c r="E9" i="17"/>
  <c r="I9" i="17" s="1"/>
  <c r="J9" i="17" s="1"/>
  <c r="I21" i="18" l="1"/>
  <c r="K11" i="19"/>
  <c r="K10" i="19"/>
  <c r="K13" i="19"/>
  <c r="K9" i="19"/>
  <c r="K14" i="19"/>
  <c r="K16" i="19"/>
  <c r="K19" i="19"/>
  <c r="K18" i="19"/>
  <c r="K12" i="19"/>
  <c r="K17" i="19"/>
  <c r="K15" i="19"/>
  <c r="I12" i="17"/>
  <c r="I11" i="18"/>
  <c r="J11" i="18" s="1"/>
  <c r="K11" i="18" s="1"/>
  <c r="I20" i="18"/>
  <c r="J20" i="18" s="1"/>
  <c r="K20" i="18" s="1"/>
  <c r="I10" i="18"/>
  <c r="J10" i="18" s="1"/>
  <c r="K10" i="18" s="1"/>
  <c r="K26" i="17"/>
  <c r="I9" i="18"/>
  <c r="J9" i="18" s="1"/>
  <c r="K16" i="17"/>
  <c r="J22" i="17"/>
  <c r="K22" i="17" s="1"/>
  <c r="I12" i="18"/>
  <c r="J12" i="18" s="1"/>
  <c r="K12" i="18" s="1"/>
  <c r="I19" i="18"/>
  <c r="J19" i="18" s="1"/>
  <c r="K19" i="18" s="1"/>
  <c r="J11" i="17"/>
  <c r="K11" i="17" s="1"/>
  <c r="J12" i="17"/>
  <c r="K12" i="17" s="1"/>
  <c r="J15" i="17"/>
  <c r="J20" i="17"/>
  <c r="K20" i="17" s="1"/>
  <c r="J13" i="18"/>
  <c r="K13" i="18" s="1"/>
  <c r="J14" i="18"/>
  <c r="K14" i="18" s="1"/>
  <c r="J15" i="18"/>
  <c r="K15" i="18" s="1"/>
  <c r="J16" i="18"/>
  <c r="K16" i="18" s="1"/>
  <c r="J17" i="18"/>
  <c r="K17" i="18" s="1"/>
  <c r="J25" i="18"/>
  <c r="K25" i="18" s="1"/>
  <c r="K9" i="17"/>
  <c r="K10" i="17"/>
  <c r="L9" i="17" s="1"/>
  <c r="M9" i="17" s="1"/>
  <c r="J13" i="17"/>
  <c r="K13" i="17" s="1"/>
  <c r="J14" i="17"/>
  <c r="K14" i="17" s="1"/>
  <c r="K15" i="17"/>
  <c r="K18" i="17"/>
  <c r="J19" i="17"/>
  <c r="K19" i="17" s="1"/>
  <c r="J18" i="18"/>
  <c r="K18" i="18" s="1"/>
  <c r="J21" i="18"/>
  <c r="K21" i="18" s="1"/>
  <c r="J22" i="18"/>
  <c r="K22" i="18" s="1"/>
  <c r="J24" i="18"/>
  <c r="K24" i="18" s="1"/>
  <c r="J28" i="18"/>
  <c r="K28" i="18" s="1"/>
  <c r="K17" i="17"/>
  <c r="K21" i="17"/>
  <c r="J23" i="17"/>
  <c r="K23" i="17" s="1"/>
  <c r="J24" i="17"/>
  <c r="K24" i="17" s="1"/>
  <c r="K25" i="17"/>
  <c r="J27" i="17"/>
  <c r="K27" i="17" s="1"/>
  <c r="J28" i="17"/>
  <c r="K28" i="17" s="1"/>
  <c r="K26" i="18"/>
  <c r="J23" i="18"/>
  <c r="K23" i="18" s="1"/>
  <c r="J27" i="18"/>
  <c r="K27" i="18" s="1"/>
  <c r="K21" i="19" l="1"/>
  <c r="K24" i="19" s="1"/>
  <c r="N23" i="18"/>
  <c r="N15" i="17"/>
  <c r="N11" i="17"/>
  <c r="L21" i="18"/>
  <c r="L19" i="17"/>
  <c r="M19" i="17" s="1"/>
  <c r="L15" i="17"/>
  <c r="M15" i="17" s="1"/>
  <c r="L11" i="17"/>
  <c r="M11" i="17" s="1"/>
  <c r="K9" i="18"/>
  <c r="N9" i="18" s="1"/>
  <c r="L23" i="18"/>
  <c r="L23" i="17"/>
  <c r="M23" i="17" s="1"/>
  <c r="L17" i="18"/>
  <c r="M17" i="18" s="1"/>
  <c r="L13" i="18"/>
  <c r="M13" i="18" s="1"/>
  <c r="N17" i="18"/>
  <c r="L11" i="18"/>
  <c r="M11" i="18" s="1"/>
  <c r="N11" i="18"/>
  <c r="N27" i="18"/>
  <c r="L27" i="18"/>
  <c r="M27" i="18" s="1"/>
  <c r="L13" i="17"/>
  <c r="M13" i="17" s="1"/>
  <c r="L25" i="18"/>
  <c r="M25" i="18" s="1"/>
  <c r="N25" i="18"/>
  <c r="L19" i="18"/>
  <c r="M19" i="18" s="1"/>
  <c r="N19" i="18"/>
  <c r="L15" i="18"/>
  <c r="M15" i="18" s="1"/>
  <c r="N15" i="18"/>
  <c r="N13" i="18"/>
  <c r="N27" i="17"/>
  <c r="L21" i="17"/>
  <c r="M21" i="17" s="1"/>
  <c r="N21" i="17"/>
  <c r="N21" i="18"/>
  <c r="N19" i="17"/>
  <c r="N13" i="17"/>
  <c r="M23" i="18"/>
  <c r="L27" i="17"/>
  <c r="M27" i="17" s="1"/>
  <c r="N25" i="17"/>
  <c r="L25" i="17"/>
  <c r="M25" i="17" s="1"/>
  <c r="N23" i="17"/>
  <c r="L17" i="17"/>
  <c r="M17" i="17" s="1"/>
  <c r="N17" i="17"/>
  <c r="M21" i="18"/>
  <c r="N9" i="17"/>
  <c r="N29" i="17" l="1"/>
  <c r="L9" i="18"/>
  <c r="M9" i="18" s="1"/>
  <c r="M29" i="18" s="1"/>
  <c r="M30" i="18" s="1"/>
  <c r="N29" i="18"/>
  <c r="M29" i="17"/>
  <c r="M30" i="17" s="1"/>
  <c r="M33" i="17" s="1"/>
  <c r="M33" i="18" l="1"/>
  <c r="I28" i="16"/>
  <c r="I27" i="16"/>
  <c r="I26" i="16"/>
  <c r="I25" i="16"/>
  <c r="J25" i="16" s="1"/>
  <c r="I24" i="16"/>
  <c r="I23" i="16"/>
  <c r="I22" i="16"/>
  <c r="I21" i="16"/>
  <c r="J21" i="16" s="1"/>
  <c r="I20" i="16"/>
  <c r="I19" i="16"/>
  <c r="I18" i="16"/>
  <c r="J18" i="16" s="1"/>
  <c r="I17" i="16"/>
  <c r="J17" i="16" s="1"/>
  <c r="I16" i="16"/>
  <c r="I15" i="16"/>
  <c r="I14" i="16"/>
  <c r="I13" i="16"/>
  <c r="J13" i="16" s="1"/>
  <c r="I12" i="16"/>
  <c r="I11" i="16"/>
  <c r="I10" i="16"/>
  <c r="J10" i="16" s="1"/>
  <c r="I9" i="16"/>
  <c r="J9" i="16" s="1"/>
  <c r="I28" i="15"/>
  <c r="I27" i="15"/>
  <c r="I26" i="15"/>
  <c r="I25" i="15"/>
  <c r="J25" i="15" s="1"/>
  <c r="I24" i="15"/>
  <c r="J24" i="15" s="1"/>
  <c r="I23" i="15"/>
  <c r="I22" i="15"/>
  <c r="I21" i="15"/>
  <c r="J21" i="15" s="1"/>
  <c r="I20" i="15"/>
  <c r="J20" i="15" s="1"/>
  <c r="I19" i="15"/>
  <c r="I18" i="15"/>
  <c r="J18" i="15" s="1"/>
  <c r="I17" i="15"/>
  <c r="J17" i="15" s="1"/>
  <c r="I16" i="15"/>
  <c r="J16" i="15" s="1"/>
  <c r="I15" i="15"/>
  <c r="I14" i="15"/>
  <c r="I13" i="15"/>
  <c r="J13" i="15" s="1"/>
  <c r="I12" i="15"/>
  <c r="J12" i="15" s="1"/>
  <c r="I11" i="15"/>
  <c r="I10" i="15"/>
  <c r="J10" i="15" s="1"/>
  <c r="I9" i="15"/>
  <c r="J9" i="15" s="1"/>
  <c r="I28" i="14"/>
  <c r="J28" i="14" s="1"/>
  <c r="I27" i="14"/>
  <c r="I26" i="14"/>
  <c r="I25" i="14"/>
  <c r="J25" i="14" s="1"/>
  <c r="I24" i="14"/>
  <c r="J24" i="14" s="1"/>
  <c r="I23" i="14"/>
  <c r="J23" i="14" s="1"/>
  <c r="I22" i="14"/>
  <c r="J22" i="14" s="1"/>
  <c r="I21" i="14"/>
  <c r="I20" i="14"/>
  <c r="J20" i="14" s="1"/>
  <c r="I19" i="14"/>
  <c r="J19" i="14" s="1"/>
  <c r="I18" i="14"/>
  <c r="J18" i="14" s="1"/>
  <c r="I17" i="14"/>
  <c r="I16" i="14"/>
  <c r="J16" i="14" s="1"/>
  <c r="I15" i="14"/>
  <c r="J15" i="14" s="1"/>
  <c r="I14" i="14"/>
  <c r="J14" i="14" s="1"/>
  <c r="I13" i="14"/>
  <c r="I12" i="14"/>
  <c r="J12" i="14" s="1"/>
  <c r="I11" i="14"/>
  <c r="J11" i="14" s="1"/>
  <c r="I10" i="14"/>
  <c r="J10" i="14" s="1"/>
  <c r="I9" i="14"/>
  <c r="K28" i="14" l="1"/>
  <c r="J14" i="15"/>
  <c r="K14" i="15" s="1"/>
  <c r="K24" i="15"/>
  <c r="J14" i="16"/>
  <c r="K14" i="16" s="1"/>
  <c r="K20" i="14"/>
  <c r="K10" i="16"/>
  <c r="J26" i="16"/>
  <c r="K26" i="16" s="1"/>
  <c r="K16" i="14"/>
  <c r="J26" i="14"/>
  <c r="K26" i="14" s="1"/>
  <c r="K16" i="15"/>
  <c r="J26" i="15"/>
  <c r="K26" i="15" s="1"/>
  <c r="J22" i="16"/>
  <c r="K22" i="16" s="1"/>
  <c r="K12" i="14"/>
  <c r="J22" i="15"/>
  <c r="K22" i="15" s="1"/>
  <c r="K18" i="16"/>
  <c r="K18" i="14"/>
  <c r="K22" i="14"/>
  <c r="J27" i="14"/>
  <c r="K27" i="14" s="1"/>
  <c r="N27" i="14" s="1"/>
  <c r="J15" i="15"/>
  <c r="J23" i="15"/>
  <c r="K23" i="15" s="1"/>
  <c r="N23" i="15" s="1"/>
  <c r="K10" i="14"/>
  <c r="K14" i="14"/>
  <c r="J9" i="14"/>
  <c r="K9" i="14" s="1"/>
  <c r="K11" i="14"/>
  <c r="J13" i="14"/>
  <c r="K13" i="14" s="1"/>
  <c r="K15" i="14"/>
  <c r="J17" i="14"/>
  <c r="K17" i="14" s="1"/>
  <c r="K19" i="14"/>
  <c r="J21" i="14"/>
  <c r="K21" i="14" s="1"/>
  <c r="K23" i="14"/>
  <c r="K24" i="14"/>
  <c r="K10" i="15"/>
  <c r="J11" i="15"/>
  <c r="K11" i="15" s="1"/>
  <c r="K12" i="15"/>
  <c r="K15" i="15"/>
  <c r="K18" i="15"/>
  <c r="J19" i="15"/>
  <c r="K19" i="15" s="1"/>
  <c r="K20" i="15"/>
  <c r="K25" i="14"/>
  <c r="K9" i="15"/>
  <c r="K13" i="15"/>
  <c r="K17" i="15"/>
  <c r="K21" i="15"/>
  <c r="K25" i="15"/>
  <c r="J27" i="15"/>
  <c r="J28" i="15"/>
  <c r="K28" i="15" s="1"/>
  <c r="K9" i="16"/>
  <c r="J11" i="16"/>
  <c r="K11" i="16" s="1"/>
  <c r="J12" i="16"/>
  <c r="K12" i="16" s="1"/>
  <c r="K13" i="16"/>
  <c r="J15" i="16"/>
  <c r="K15" i="16" s="1"/>
  <c r="J16" i="16"/>
  <c r="K16" i="16" s="1"/>
  <c r="K17" i="16"/>
  <c r="J19" i="16"/>
  <c r="K19" i="16" s="1"/>
  <c r="J20" i="16"/>
  <c r="K20" i="16" s="1"/>
  <c r="K21" i="16"/>
  <c r="J23" i="16"/>
  <c r="K23" i="16" s="1"/>
  <c r="J24" i="16"/>
  <c r="K24" i="16" s="1"/>
  <c r="K25" i="16"/>
  <c r="J27" i="16"/>
  <c r="K27" i="16" s="1"/>
  <c r="J28" i="16"/>
  <c r="K28" i="16" s="1"/>
  <c r="K27" i="15"/>
  <c r="L11" i="15" l="1"/>
  <c r="L19" i="15"/>
  <c r="L15" i="15"/>
  <c r="L27" i="16"/>
  <c r="M27" i="16" s="1"/>
  <c r="N27" i="16"/>
  <c r="N21" i="14"/>
  <c r="L21" i="14"/>
  <c r="M21" i="14" s="1"/>
  <c r="N17" i="14"/>
  <c r="L17" i="14"/>
  <c r="M17" i="14" s="1"/>
  <c r="N13" i="14"/>
  <c r="L13" i="14"/>
  <c r="M13" i="14" s="1"/>
  <c r="N9" i="14"/>
  <c r="L9" i="14"/>
  <c r="M9" i="14" s="1"/>
  <c r="L23" i="16"/>
  <c r="M23" i="16" s="1"/>
  <c r="N21" i="16"/>
  <c r="L21" i="16"/>
  <c r="M21" i="16" s="1"/>
  <c r="N19" i="16"/>
  <c r="L15" i="16"/>
  <c r="M15" i="16" s="1"/>
  <c r="N13" i="16"/>
  <c r="L13" i="16"/>
  <c r="N11" i="16"/>
  <c r="L27" i="15"/>
  <c r="M27" i="15" s="1"/>
  <c r="N25" i="15"/>
  <c r="L25" i="15"/>
  <c r="M25" i="15" s="1"/>
  <c r="L17" i="15"/>
  <c r="M17" i="15" s="1"/>
  <c r="N17" i="15"/>
  <c r="L9" i="15"/>
  <c r="M9" i="15" s="1"/>
  <c r="N9" i="15"/>
  <c r="N19" i="15"/>
  <c r="N11" i="15"/>
  <c r="L23" i="14"/>
  <c r="M23" i="14" s="1"/>
  <c r="N19" i="14"/>
  <c r="L19" i="14"/>
  <c r="L11" i="14"/>
  <c r="N11" i="14"/>
  <c r="M13" i="16"/>
  <c r="L23" i="15"/>
  <c r="M23" i="15" s="1"/>
  <c r="N15" i="15"/>
  <c r="M27" i="14"/>
  <c r="L27" i="14"/>
  <c r="M19" i="14"/>
  <c r="M11" i="14"/>
  <c r="N25" i="16"/>
  <c r="L25" i="16"/>
  <c r="M25" i="16" s="1"/>
  <c r="N23" i="16"/>
  <c r="L19" i="16"/>
  <c r="M19" i="16" s="1"/>
  <c r="N17" i="16"/>
  <c r="L17" i="16"/>
  <c r="M17" i="16" s="1"/>
  <c r="N15" i="16"/>
  <c r="L11" i="16"/>
  <c r="M11" i="16" s="1"/>
  <c r="N9" i="16"/>
  <c r="L9" i="16"/>
  <c r="M9" i="16" s="1"/>
  <c r="N27" i="15"/>
  <c r="N21" i="15"/>
  <c r="L21" i="15"/>
  <c r="M21" i="15" s="1"/>
  <c r="N13" i="15"/>
  <c r="L13" i="15"/>
  <c r="N25" i="14"/>
  <c r="L25" i="14"/>
  <c r="M25" i="14" s="1"/>
  <c r="M19" i="15"/>
  <c r="M11" i="15"/>
  <c r="N23" i="14"/>
  <c r="N15" i="14"/>
  <c r="L15" i="14"/>
  <c r="M15" i="14" s="1"/>
  <c r="M15" i="15"/>
  <c r="M13" i="15"/>
  <c r="M29" i="16" l="1"/>
  <c r="M30" i="16" s="1"/>
  <c r="N29" i="16"/>
  <c r="M29" i="14"/>
  <c r="M30" i="14" s="1"/>
  <c r="M29" i="15"/>
  <c r="M30" i="15" s="1"/>
  <c r="N29" i="15"/>
  <c r="N29" i="14"/>
  <c r="M33" i="16" l="1"/>
  <c r="M33" i="15"/>
  <c r="M33" i="14"/>
  <c r="H19" i="13" l="1"/>
  <c r="H18" i="13"/>
  <c r="H17" i="13"/>
  <c r="H16" i="13"/>
  <c r="H15" i="13"/>
  <c r="H14" i="13"/>
  <c r="H13" i="13"/>
  <c r="H12" i="13"/>
  <c r="H11" i="13"/>
  <c r="H10" i="13"/>
  <c r="H9" i="13"/>
  <c r="H19" i="12"/>
  <c r="H18" i="12"/>
  <c r="H17" i="12"/>
  <c r="H16" i="12"/>
  <c r="H15" i="12"/>
  <c r="H14" i="12"/>
  <c r="H13" i="12"/>
  <c r="H12" i="12"/>
  <c r="H11" i="12"/>
  <c r="H10" i="12"/>
  <c r="H9" i="12"/>
  <c r="I9" i="13" l="1"/>
  <c r="J9" i="13" s="1"/>
  <c r="I10" i="13"/>
  <c r="J10" i="13" s="1"/>
  <c r="I11" i="13"/>
  <c r="J11" i="13" s="1"/>
  <c r="I12" i="13"/>
  <c r="J12" i="13" s="1"/>
  <c r="I13" i="13"/>
  <c r="J13" i="13" s="1"/>
  <c r="I14" i="13"/>
  <c r="J14" i="13" s="1"/>
  <c r="I15" i="13"/>
  <c r="J15" i="13" s="1"/>
  <c r="I16" i="13"/>
  <c r="J16" i="13" s="1"/>
  <c r="I17" i="13"/>
  <c r="J17" i="13" s="1"/>
  <c r="I18" i="13"/>
  <c r="J18" i="13" s="1"/>
  <c r="I19" i="13"/>
  <c r="J19" i="13" s="1"/>
  <c r="I9" i="12"/>
  <c r="J9" i="12" s="1"/>
  <c r="I10" i="12"/>
  <c r="J10" i="12" s="1"/>
  <c r="I11" i="12"/>
  <c r="J11" i="12" s="1"/>
  <c r="I12" i="12"/>
  <c r="J12" i="12" s="1"/>
  <c r="I13" i="12"/>
  <c r="J13" i="12" s="1"/>
  <c r="I14" i="12"/>
  <c r="J14" i="12" s="1"/>
  <c r="I15" i="12"/>
  <c r="J15" i="12" s="1"/>
  <c r="I16" i="12"/>
  <c r="J16" i="12" s="1"/>
  <c r="I17" i="12"/>
  <c r="J17" i="12" s="1"/>
  <c r="I18" i="12"/>
  <c r="J18" i="12" s="1"/>
  <c r="I19" i="12"/>
  <c r="J19" i="12" s="1"/>
  <c r="J21" i="13" l="1"/>
  <c r="K18" i="13" s="1"/>
  <c r="J25" i="13"/>
  <c r="J26" i="13" s="1"/>
  <c r="J22" i="13"/>
  <c r="J23" i="13" s="1"/>
  <c r="I22" i="13"/>
  <c r="I21" i="13"/>
  <c r="K16" i="12"/>
  <c r="K12" i="12"/>
  <c r="K19" i="12"/>
  <c r="J21" i="12"/>
  <c r="K18" i="12" s="1"/>
  <c r="J25" i="12"/>
  <c r="J26" i="12" s="1"/>
  <c r="J22" i="12"/>
  <c r="J23" i="12" s="1"/>
  <c r="K9" i="12"/>
  <c r="I22" i="12"/>
  <c r="I21" i="12"/>
  <c r="K13" i="12" l="1"/>
  <c r="K11" i="12"/>
  <c r="K13" i="13"/>
  <c r="K11" i="13"/>
  <c r="K19" i="13"/>
  <c r="K12" i="13"/>
  <c r="K9" i="13"/>
  <c r="K16" i="13"/>
  <c r="I23" i="13"/>
  <c r="K17" i="13"/>
  <c r="K15" i="13"/>
  <c r="K10" i="13"/>
  <c r="K14" i="13"/>
  <c r="I23" i="12"/>
  <c r="K17" i="12"/>
  <c r="K15" i="12"/>
  <c r="K10" i="12"/>
  <c r="K14" i="12"/>
  <c r="K21" i="12" l="1"/>
  <c r="K24" i="12" s="1"/>
  <c r="K21" i="13"/>
  <c r="K24" i="13" s="1"/>
  <c r="I28" i="11"/>
  <c r="I27" i="11"/>
  <c r="J27" i="11" s="1"/>
  <c r="I26" i="11"/>
  <c r="J26" i="11" s="1"/>
  <c r="I25" i="11"/>
  <c r="I24" i="11"/>
  <c r="J24" i="11" s="1"/>
  <c r="I23" i="11"/>
  <c r="J23" i="11" s="1"/>
  <c r="I22" i="11"/>
  <c r="J22" i="11" s="1"/>
  <c r="I21" i="11"/>
  <c r="I20" i="11"/>
  <c r="I19" i="11"/>
  <c r="J19" i="11" s="1"/>
  <c r="I18" i="11"/>
  <c r="J18" i="11" s="1"/>
  <c r="I17" i="11"/>
  <c r="I16" i="11"/>
  <c r="I15" i="11"/>
  <c r="J15" i="11" s="1"/>
  <c r="I14" i="11"/>
  <c r="J14" i="11" s="1"/>
  <c r="I13" i="11"/>
  <c r="I12" i="11"/>
  <c r="I11" i="11"/>
  <c r="J11" i="11" s="1"/>
  <c r="I10" i="11"/>
  <c r="J10" i="11" s="1"/>
  <c r="I9" i="11"/>
  <c r="J16" i="11" l="1"/>
  <c r="K16" i="11" s="1"/>
  <c r="J20" i="11"/>
  <c r="K20" i="11" s="1"/>
  <c r="J12" i="11"/>
  <c r="K12" i="11" s="1"/>
  <c r="J28" i="11"/>
  <c r="K28" i="11" s="1"/>
  <c r="K24" i="11"/>
  <c r="K10" i="11"/>
  <c r="K14" i="11"/>
  <c r="K18" i="11"/>
  <c r="K22" i="11"/>
  <c r="K26" i="11"/>
  <c r="J9" i="11"/>
  <c r="K9" i="11" s="1"/>
  <c r="K11" i="11"/>
  <c r="J13" i="11"/>
  <c r="K13" i="11" s="1"/>
  <c r="K15" i="11"/>
  <c r="J17" i="11"/>
  <c r="K17" i="11" s="1"/>
  <c r="K19" i="11"/>
  <c r="J21" i="11"/>
  <c r="K21" i="11" s="1"/>
  <c r="K23" i="11"/>
  <c r="J25" i="11"/>
  <c r="K25" i="11" s="1"/>
  <c r="K27" i="11"/>
  <c r="N13" i="11" l="1"/>
  <c r="L13" i="11"/>
  <c r="N21" i="11"/>
  <c r="L21" i="11"/>
  <c r="M21" i="11" s="1"/>
  <c r="N25" i="11"/>
  <c r="L25" i="11"/>
  <c r="M25" i="11" s="1"/>
  <c r="N9" i="11"/>
  <c r="L9" i="11"/>
  <c r="M9" i="11" s="1"/>
  <c r="N17" i="11"/>
  <c r="L17" i="11"/>
  <c r="M17" i="11" s="1"/>
  <c r="N27" i="11"/>
  <c r="L27" i="11"/>
  <c r="M27" i="11" s="1"/>
  <c r="N19" i="11"/>
  <c r="L19" i="11"/>
  <c r="M19" i="11" s="1"/>
  <c r="N11" i="11"/>
  <c r="L11" i="11"/>
  <c r="M11" i="11" s="1"/>
  <c r="N23" i="11"/>
  <c r="L23" i="11"/>
  <c r="M23" i="11" s="1"/>
  <c r="N15" i="11"/>
  <c r="L15" i="11"/>
  <c r="M15" i="11" s="1"/>
  <c r="M13" i="11"/>
  <c r="M29" i="11" l="1"/>
  <c r="M30" i="11" s="1"/>
  <c r="N29" i="11"/>
  <c r="M33" i="11" l="1"/>
  <c r="I28" i="10" l="1"/>
  <c r="J28" i="10" s="1"/>
  <c r="I27" i="10"/>
  <c r="I26" i="10"/>
  <c r="I25" i="10"/>
  <c r="J25" i="10" s="1"/>
  <c r="I24" i="10"/>
  <c r="J24" i="10" s="1"/>
  <c r="I23" i="10"/>
  <c r="I22" i="10"/>
  <c r="I21" i="10"/>
  <c r="J21" i="10" s="1"/>
  <c r="I20" i="10"/>
  <c r="J20" i="10" s="1"/>
  <c r="I19" i="10"/>
  <c r="I18" i="10"/>
  <c r="J18" i="10" s="1"/>
  <c r="I17" i="10"/>
  <c r="J17" i="10" s="1"/>
  <c r="I16" i="10"/>
  <c r="J16" i="10" s="1"/>
  <c r="I15" i="10"/>
  <c r="I14" i="10"/>
  <c r="I13" i="10"/>
  <c r="J13" i="10" s="1"/>
  <c r="I12" i="10"/>
  <c r="J12" i="10" s="1"/>
  <c r="I11" i="10"/>
  <c r="I10" i="10"/>
  <c r="I9" i="10"/>
  <c r="J9" i="10" s="1"/>
  <c r="J10" i="10" l="1"/>
  <c r="K10" i="10" s="1"/>
  <c r="J26" i="10"/>
  <c r="K26" i="10" s="1"/>
  <c r="K18" i="10"/>
  <c r="J14" i="10"/>
  <c r="K14" i="10" s="1"/>
  <c r="J22" i="10"/>
  <c r="K22" i="10" s="1"/>
  <c r="K12" i="10"/>
  <c r="K16" i="10"/>
  <c r="K20" i="10"/>
  <c r="K24" i="10"/>
  <c r="K28" i="10"/>
  <c r="K9" i="10"/>
  <c r="J11" i="10"/>
  <c r="K11" i="10" s="1"/>
  <c r="K13" i="10"/>
  <c r="J15" i="10"/>
  <c r="K15" i="10" s="1"/>
  <c r="K17" i="10"/>
  <c r="J19" i="10"/>
  <c r="K19" i="10" s="1"/>
  <c r="K21" i="10"/>
  <c r="J23" i="10"/>
  <c r="K23" i="10" s="1"/>
  <c r="K25" i="10"/>
  <c r="J27" i="10"/>
  <c r="K27" i="10" s="1"/>
  <c r="N27" i="10" l="1"/>
  <c r="L27" i="10"/>
  <c r="M27" i="10" s="1"/>
  <c r="N23" i="10"/>
  <c r="L23" i="10"/>
  <c r="M23" i="10" s="1"/>
  <c r="N19" i="10"/>
  <c r="L19" i="10"/>
  <c r="M19" i="10" s="1"/>
  <c r="N15" i="10"/>
  <c r="L15" i="10"/>
  <c r="M15" i="10" s="1"/>
  <c r="N11" i="10"/>
  <c r="L11" i="10"/>
  <c r="M11" i="10" s="1"/>
  <c r="N21" i="10"/>
  <c r="L21" i="10"/>
  <c r="M21" i="10" s="1"/>
  <c r="N13" i="10"/>
  <c r="L13" i="10"/>
  <c r="M13" i="10" s="1"/>
  <c r="N25" i="10"/>
  <c r="L25" i="10"/>
  <c r="M25" i="10" s="1"/>
  <c r="N17" i="10"/>
  <c r="L17" i="10"/>
  <c r="M17" i="10" s="1"/>
  <c r="N9" i="10"/>
  <c r="L9" i="10"/>
  <c r="M9" i="10" s="1"/>
  <c r="M29" i="10" l="1"/>
  <c r="M30" i="10" s="1"/>
  <c r="N29" i="10"/>
  <c r="M33" i="10" l="1"/>
  <c r="H19" i="9"/>
  <c r="H18" i="9"/>
  <c r="H17" i="9"/>
  <c r="H16" i="9"/>
  <c r="H15" i="9"/>
  <c r="H14" i="9"/>
  <c r="H13" i="9"/>
  <c r="H12" i="9"/>
  <c r="H11" i="9"/>
  <c r="H10" i="9"/>
  <c r="H9" i="9"/>
  <c r="H19" i="8"/>
  <c r="H18" i="8"/>
  <c r="H17" i="8"/>
  <c r="H16" i="8"/>
  <c r="H15" i="8"/>
  <c r="H14" i="8"/>
  <c r="H13" i="8"/>
  <c r="H12" i="8"/>
  <c r="H11" i="8"/>
  <c r="H10" i="8"/>
  <c r="H9" i="8"/>
  <c r="I9" i="9" l="1"/>
  <c r="I10" i="9"/>
  <c r="I11" i="9"/>
  <c r="J11" i="9" s="1"/>
  <c r="I12" i="9"/>
  <c r="I13" i="9"/>
  <c r="J13" i="9" s="1"/>
  <c r="I14" i="9"/>
  <c r="J14" i="9" s="1"/>
  <c r="I15" i="9"/>
  <c r="J15" i="9" s="1"/>
  <c r="I16" i="9"/>
  <c r="J16" i="9" s="1"/>
  <c r="I17" i="9"/>
  <c r="J17" i="9" s="1"/>
  <c r="I18" i="9"/>
  <c r="I19" i="9"/>
  <c r="J19" i="9" s="1"/>
  <c r="I9" i="8"/>
  <c r="I10" i="8"/>
  <c r="J10" i="8" s="1"/>
  <c r="I11" i="8"/>
  <c r="J11" i="8" s="1"/>
  <c r="I12" i="8"/>
  <c r="J12" i="8" s="1"/>
  <c r="I13" i="8"/>
  <c r="J13" i="8" s="1"/>
  <c r="I14" i="8"/>
  <c r="J14" i="8" s="1"/>
  <c r="I15" i="8"/>
  <c r="J15" i="8" s="1"/>
  <c r="I16" i="8"/>
  <c r="J16" i="8" s="1"/>
  <c r="I17" i="8"/>
  <c r="J17" i="8" s="1"/>
  <c r="I18" i="8"/>
  <c r="J18" i="8" s="1"/>
  <c r="I19" i="8"/>
  <c r="J19" i="8" s="1"/>
  <c r="J10" i="9"/>
  <c r="J12" i="9"/>
  <c r="J18" i="9"/>
  <c r="I22" i="8" l="1"/>
  <c r="I21" i="8"/>
  <c r="J9" i="8"/>
  <c r="I22" i="9"/>
  <c r="I21" i="9"/>
  <c r="J9" i="9"/>
  <c r="I23" i="9" l="1"/>
  <c r="J21" i="9"/>
  <c r="J25" i="9"/>
  <c r="J26" i="9" s="1"/>
  <c r="J22" i="9"/>
  <c r="J23" i="9" s="1"/>
  <c r="K9" i="9"/>
  <c r="J21" i="8"/>
  <c r="K9" i="8" s="1"/>
  <c r="J25" i="8"/>
  <c r="J26" i="8" s="1"/>
  <c r="J22" i="8"/>
  <c r="J23" i="8" s="1"/>
  <c r="I23" i="8"/>
  <c r="K19" i="8" l="1"/>
  <c r="K15" i="8"/>
  <c r="K11" i="8"/>
  <c r="K18" i="8"/>
  <c r="K14" i="8"/>
  <c r="K10" i="8"/>
  <c r="K17" i="8"/>
  <c r="K13" i="8"/>
  <c r="K16" i="8"/>
  <c r="K12" i="8"/>
  <c r="K16" i="9"/>
  <c r="K14" i="9"/>
  <c r="K17" i="9"/>
  <c r="K13" i="9"/>
  <c r="K12" i="9"/>
  <c r="K18" i="9"/>
  <c r="K10" i="9"/>
  <c r="K19" i="9"/>
  <c r="K15" i="9"/>
  <c r="K11" i="9"/>
  <c r="K21" i="9" l="1"/>
  <c r="K24" i="9" s="1"/>
  <c r="K21" i="8"/>
  <c r="K24" i="8" s="1"/>
  <c r="H19" i="7"/>
  <c r="I19" i="7" s="1"/>
  <c r="H18" i="7"/>
  <c r="H17" i="7"/>
  <c r="H16" i="7"/>
  <c r="H15" i="7"/>
  <c r="H14" i="7"/>
  <c r="H13" i="7"/>
  <c r="I13" i="7" s="1"/>
  <c r="H12" i="7"/>
  <c r="H11" i="7"/>
  <c r="H10" i="7"/>
  <c r="H9" i="7"/>
  <c r="I9" i="7" l="1"/>
  <c r="J9" i="7" s="1"/>
  <c r="I14" i="7"/>
  <c r="J14" i="7" s="1"/>
  <c r="I18" i="7"/>
  <c r="J18" i="7" s="1"/>
  <c r="I15" i="7"/>
  <c r="J15" i="7" s="1"/>
  <c r="J13" i="7"/>
  <c r="I17" i="7"/>
  <c r="J17" i="7" s="1"/>
  <c r="I10" i="7"/>
  <c r="J10" i="7" s="1"/>
  <c r="J19" i="7"/>
  <c r="I11" i="7"/>
  <c r="J11" i="7" s="1"/>
  <c r="I12" i="7"/>
  <c r="J12" i="7" s="1"/>
  <c r="I16" i="7"/>
  <c r="J16" i="7" s="1"/>
  <c r="J22" i="7" l="1"/>
  <c r="I22" i="7"/>
  <c r="I21" i="7"/>
  <c r="J21" i="7"/>
  <c r="K9" i="7" s="1"/>
  <c r="J25" i="7"/>
  <c r="J26" i="7" s="1"/>
  <c r="I23" i="7" l="1"/>
  <c r="J23" i="7"/>
  <c r="K18" i="7"/>
  <c r="K10" i="7"/>
  <c r="K11" i="7"/>
  <c r="K12" i="7"/>
  <c r="K15" i="7"/>
  <c r="K17" i="7"/>
  <c r="K14" i="7"/>
  <c r="K13" i="7"/>
  <c r="K19" i="7"/>
  <c r="K16" i="7"/>
  <c r="H19" i="6"/>
  <c r="I19" i="6" s="1"/>
  <c r="H18" i="6"/>
  <c r="H17" i="6"/>
  <c r="I17" i="6" s="1"/>
  <c r="H16" i="6"/>
  <c r="I16" i="6" s="1"/>
  <c r="H15" i="6"/>
  <c r="I15" i="6" s="1"/>
  <c r="H14" i="6"/>
  <c r="I14" i="6" s="1"/>
  <c r="H13" i="6"/>
  <c r="I13" i="6" s="1"/>
  <c r="H12" i="6"/>
  <c r="I12" i="6" s="1"/>
  <c r="H11" i="6"/>
  <c r="I11" i="6" s="1"/>
  <c r="H10" i="6"/>
  <c r="I10" i="6" s="1"/>
  <c r="H9" i="6"/>
  <c r="I9" i="6" s="1"/>
  <c r="K21" i="7" l="1"/>
  <c r="K24" i="7" s="1"/>
  <c r="J17" i="6"/>
  <c r="J13" i="6"/>
  <c r="I18" i="6"/>
  <c r="I21" i="6" s="1"/>
  <c r="J16" i="6"/>
  <c r="J9" i="6"/>
  <c r="J14" i="6"/>
  <c r="J11" i="6"/>
  <c r="J15" i="6"/>
  <c r="J19" i="6"/>
  <c r="J12" i="6"/>
  <c r="J10" i="6"/>
  <c r="I22" i="6"/>
  <c r="J18" i="6" l="1"/>
  <c r="I23" i="6"/>
  <c r="J25" i="6"/>
  <c r="J26" i="6" s="1"/>
  <c r="J22" i="6" l="1"/>
  <c r="J21" i="6"/>
  <c r="H19" i="5"/>
  <c r="I19" i="5" s="1"/>
  <c r="H18" i="5"/>
  <c r="I18" i="5" s="1"/>
  <c r="H17" i="5"/>
  <c r="I17" i="5" s="1"/>
  <c r="H16" i="5"/>
  <c r="H15" i="5"/>
  <c r="H14" i="5"/>
  <c r="H13" i="5"/>
  <c r="I13" i="5" s="1"/>
  <c r="H12" i="5"/>
  <c r="H11" i="5"/>
  <c r="I11" i="5" s="1"/>
  <c r="H10" i="5"/>
  <c r="H9" i="5"/>
  <c r="I9" i="5" s="1"/>
  <c r="I15" i="5" l="1"/>
  <c r="J15" i="5" s="1"/>
  <c r="I14" i="5"/>
  <c r="J14" i="5" s="1"/>
  <c r="J11" i="5"/>
  <c r="K9" i="6"/>
  <c r="K10" i="6"/>
  <c r="K13" i="6"/>
  <c r="K14" i="6"/>
  <c r="K16" i="6"/>
  <c r="K12" i="6"/>
  <c r="K11" i="6"/>
  <c r="K15" i="6"/>
  <c r="K19" i="6"/>
  <c r="K17" i="6"/>
  <c r="I12" i="5"/>
  <c r="J12" i="5" s="1"/>
  <c r="I16" i="5"/>
  <c r="J16" i="5" s="1"/>
  <c r="K18" i="6"/>
  <c r="J18" i="5"/>
  <c r="I10" i="5"/>
  <c r="J10" i="5" s="1"/>
  <c r="J9" i="5"/>
  <c r="J13" i="5"/>
  <c r="J17" i="5"/>
  <c r="J23" i="6"/>
  <c r="J19" i="5"/>
  <c r="I22" i="5" l="1"/>
  <c r="K21" i="6"/>
  <c r="K24" i="6" s="1"/>
  <c r="J22" i="5"/>
  <c r="I21" i="5"/>
  <c r="J21" i="5"/>
  <c r="K9" i="5" s="1"/>
  <c r="K14" i="5"/>
  <c r="K15" i="5"/>
  <c r="J25" i="5"/>
  <c r="J26" i="5" s="1"/>
  <c r="K16" i="5" l="1"/>
  <c r="K17" i="5"/>
  <c r="J23" i="5"/>
  <c r="K12" i="5"/>
  <c r="K19" i="5"/>
  <c r="K10" i="5"/>
  <c r="I23" i="5"/>
  <c r="K11" i="5"/>
  <c r="K18" i="5"/>
  <c r="K13" i="5"/>
  <c r="K21" i="5" l="1"/>
  <c r="K24" i="5" s="1"/>
</calcChain>
</file>

<file path=xl/sharedStrings.xml><?xml version="1.0" encoding="utf-8"?>
<sst xmlns="http://schemas.openxmlformats.org/spreadsheetml/2006/main" count="2531" uniqueCount="424">
  <si>
    <t>d1</t>
  </si>
  <si>
    <t>d2</t>
  </si>
  <si>
    <t>N</t>
  </si>
  <si>
    <t>d1, d2</t>
  </si>
  <si>
    <t>#</t>
  </si>
  <si>
    <t>SD</t>
  </si>
  <si>
    <t>rSD</t>
  </si>
  <si>
    <t>n</t>
  </si>
  <si>
    <t>K1</t>
  </si>
  <si>
    <t>K2</t>
  </si>
  <si>
    <t>Proben-Nr</t>
  </si>
  <si>
    <t xml:space="preserve"> </t>
  </si>
  <si>
    <t>p1</t>
  </si>
  <si>
    <t>k1</t>
  </si>
  <si>
    <t>p2</t>
  </si>
  <si>
    <t>k2</t>
  </si>
  <si>
    <t>k1, k2</t>
  </si>
  <si>
    <t>p1, p2</t>
  </si>
  <si>
    <t>Stroh</t>
  </si>
  <si>
    <t>Oldenburg</t>
  </si>
  <si>
    <t>Arnsberg</t>
  </si>
  <si>
    <t>Nossen</t>
  </si>
  <si>
    <t>Jena</t>
  </si>
  <si>
    <t>Kiel</t>
  </si>
  <si>
    <t>Linz</t>
  </si>
  <si>
    <t>Münster</t>
  </si>
  <si>
    <t>Stade</t>
  </si>
  <si>
    <t>x</t>
  </si>
  <si>
    <t>Maissilage</t>
  </si>
  <si>
    <t>LTZ</t>
  </si>
  <si>
    <t>Oberschleißheim</t>
  </si>
  <si>
    <t>LKS</t>
  </si>
  <si>
    <t>Matrix</t>
  </si>
  <si>
    <t>10x2</t>
  </si>
  <si>
    <t>1x11</t>
  </si>
  <si>
    <t>20FU028886</t>
  </si>
  <si>
    <t>CVUA Westfalen</t>
  </si>
  <si>
    <t>2019-8564939</t>
  </si>
  <si>
    <t>VDLUFA 28.1.2</t>
  </si>
  <si>
    <t>BfUL Nossen</t>
  </si>
  <si>
    <t>TLLLR Jena</t>
  </si>
  <si>
    <t>F00576</t>
  </si>
  <si>
    <t>F01368_02</t>
  </si>
  <si>
    <t>F00783</t>
  </si>
  <si>
    <t>F00784</t>
  </si>
  <si>
    <t>F00811</t>
  </si>
  <si>
    <t>F00930</t>
  </si>
  <si>
    <t>F00939</t>
  </si>
  <si>
    <t>F00949</t>
  </si>
  <si>
    <t>F01368</t>
  </si>
  <si>
    <t>F01926</t>
  </si>
  <si>
    <t>F00587</t>
  </si>
  <si>
    <t xml:space="preserve">
						</t>
  </si>
  <si>
    <t>DIN EN ISO 21528-2:2017-06 (Enterobacteriaceae)</t>
  </si>
  <si>
    <t>AGROLAB LUFA GmbH</t>
  </si>
  <si>
    <t>AGES Linz</t>
  </si>
  <si>
    <t>20010907-005</t>
  </si>
  <si>
    <t>20009504-005</t>
  </si>
  <si>
    <t>19147686-001</t>
  </si>
  <si>
    <t>19128608-001</t>
  </si>
  <si>
    <t>19108255-001</t>
  </si>
  <si>
    <t>19100960-001</t>
  </si>
  <si>
    <t>19091157-001</t>
  </si>
  <si>
    <t>19089012-001</t>
  </si>
  <si>
    <t>19087273-001</t>
  </si>
  <si>
    <t>19087247-001</t>
  </si>
  <si>
    <t>19020396-001</t>
  </si>
  <si>
    <t>19077222-001</t>
  </si>
  <si>
    <t>19086106-001</t>
  </si>
  <si>
    <t>19029253-001</t>
  </si>
  <si>
    <t>19087539-001</t>
  </si>
  <si>
    <t>20009504-002</t>
  </si>
  <si>
    <t>19091416-001</t>
  </si>
  <si>
    <t>LTZ Augustenberg</t>
  </si>
  <si>
    <t>F210238</t>
  </si>
  <si>
    <t>F210241</t>
  </si>
  <si>
    <t>F210276</t>
  </si>
  <si>
    <t>F210342</t>
  </si>
  <si>
    <t>F210343</t>
  </si>
  <si>
    <t>F210344</t>
  </si>
  <si>
    <t>F210364</t>
  </si>
  <si>
    <t>F210365</t>
  </si>
  <si>
    <t>F210366</t>
  </si>
  <si>
    <t>F210367</t>
  </si>
  <si>
    <t>F210368</t>
  </si>
  <si>
    <t>LUFA NRW</t>
  </si>
  <si>
    <t>LGL Oberschleißheim</t>
  </si>
  <si>
    <t>LAVES Stade</t>
  </si>
  <si>
    <t>06-99920-02934</t>
  </si>
  <si>
    <t>06-99920-02935</t>
  </si>
  <si>
    <t xml:space="preserve">Matrix uncertainty calculation according to Annex 1 of ISO 19036:2019 </t>
  </si>
  <si>
    <t>matrix:</t>
  </si>
  <si>
    <t>method:</t>
  </si>
  <si>
    <t>sample-no.:</t>
  </si>
  <si>
    <t>lab:</t>
  </si>
  <si>
    <t>comment</t>
  </si>
  <si>
    <r>
      <t>dilution level, e. g.: 10</t>
    </r>
    <r>
      <rPr>
        <vertAlign val="superscript"/>
        <sz val="10"/>
        <rFont val="Arial"/>
        <family val="2"/>
      </rPr>
      <t>-d1</t>
    </r>
  </si>
  <si>
    <t>Number of colonies counted (of all plates of the respective dilution level).</t>
  </si>
  <si>
    <t>Number of plates considered for the respective dilution levels</t>
  </si>
  <si>
    <t>Sum of all counted colonies on the considered dilution levels; must be at least 30</t>
  </si>
  <si>
    <t>Germ content in cfu/g or cfu/ml (weighted average according to ISO 7218)</t>
  </si>
  <si>
    <r>
      <t>logarithmized germ content (log</t>
    </r>
    <r>
      <rPr>
        <vertAlign val="subscript"/>
        <sz val="10"/>
        <rFont val="Arial"/>
        <family val="2"/>
      </rPr>
      <t>10</t>
    </r>
    <r>
      <rPr>
        <sz val="10"/>
        <rFont val="Arial"/>
        <family val="2"/>
      </rPr>
      <t>)</t>
    </r>
  </si>
  <si>
    <t>where</t>
  </si>
  <si>
    <t>cfu</t>
  </si>
  <si>
    <t>log cfu</t>
  </si>
  <si>
    <t>mean</t>
  </si>
  <si>
    <t>sum</t>
  </si>
  <si>
    <r>
      <t>u</t>
    </r>
    <r>
      <rPr>
        <b/>
        <vertAlign val="subscript"/>
        <sz val="10"/>
        <rFont val="Arial"/>
        <family val="2"/>
      </rPr>
      <t>matrix</t>
    </r>
  </si>
  <si>
    <t>mean log cfu</t>
  </si>
  <si>
    <t>degree of freedom</t>
  </si>
  <si>
    <t>sum*2</t>
  </si>
  <si>
    <t>Evaluation of the bacteria</t>
  </si>
  <si>
    <t>Evaluation of molds and yeasts</t>
  </si>
  <si>
    <t>VDLUFA 28.1.2 bacteria</t>
  </si>
  <si>
    <t>VDLUFA 28.1.2 Bacteria</t>
  </si>
  <si>
    <t>Repeatability conditions  (yes/no):</t>
  </si>
  <si>
    <t xml:space="preserve">Sample preparation (ground, mashed, without, etc.): </t>
  </si>
  <si>
    <t>yes</t>
  </si>
  <si>
    <t>Explanation of terms</t>
  </si>
  <si>
    <r>
      <t>The matrix uncertainty u</t>
    </r>
    <r>
      <rPr>
        <vertAlign val="subscript"/>
        <sz val="10"/>
        <color theme="1"/>
        <rFont val="Arial"/>
        <family val="2"/>
      </rPr>
      <t>matrix</t>
    </r>
    <r>
      <rPr>
        <sz val="10"/>
        <color theme="1"/>
        <rFont val="Arial"/>
        <family val="2"/>
      </rPr>
      <t xml:space="preserve"> is a measure of the uneven distribution of microorganisms in a heterogeneous sample.</t>
    </r>
  </si>
  <si>
    <t xml:space="preserve">It is independent of the analytical methods (i.e. does not have to be determined for each method individually), </t>
  </si>
  <si>
    <r>
      <t>but can be used in each case to describe the matrix effect in addition to the intralaboratory standard deviation (S</t>
    </r>
    <r>
      <rPr>
        <vertAlign val="subscript"/>
        <sz val="10"/>
        <color theme="1"/>
        <rFont val="Arial"/>
        <family val="2"/>
      </rPr>
      <t>IR</t>
    </r>
    <r>
      <rPr>
        <sz val="10"/>
        <rFont val="Arial"/>
        <family val="2"/>
      </rPr>
      <t xml:space="preserve">) </t>
    </r>
  </si>
  <si>
    <r>
      <t>and the Poisson uncertainty. u</t>
    </r>
    <r>
      <rPr>
        <vertAlign val="subscript"/>
        <sz val="10"/>
        <color theme="1"/>
        <rFont val="Arial"/>
        <family val="2"/>
      </rPr>
      <t>matrix</t>
    </r>
    <r>
      <rPr>
        <sz val="10"/>
        <rFont val="Arial"/>
        <family val="2"/>
      </rPr>
      <t xml:space="preserve"> from publications/other laboratories may be adopted.</t>
    </r>
  </si>
  <si>
    <t>Method</t>
  </si>
  <si>
    <t xml:space="preserve">Total bacteria/fungi count according to VDLUFA method no. 28.1.2 </t>
  </si>
  <si>
    <t>Alternatively: another germ counting method (enterobacteria, etc.) that is useful for a specific feed type.</t>
  </si>
  <si>
    <t>MPN procedures are not suitable.</t>
  </si>
  <si>
    <t>Implementation</t>
  </si>
  <si>
    <t>either 11x1</t>
  </si>
  <si>
    <t>11 initial suspensions from the same sample, optimally on the same day of preparation;</t>
  </si>
  <si>
    <t>under repeatability conditions: everything as identical as possible (lab technician, media batches, equipment, incubation time);</t>
  </si>
  <si>
    <t>suitable for rare feed species in large sample quantities;</t>
  </si>
  <si>
    <t xml:space="preserve">A former result should already be available to avoid results &lt; LOD or &gt; dilution range </t>
  </si>
  <si>
    <t>Risk that a laboratory error in a single subsample endangers the entire series. Maybe prepare 12x?</t>
  </si>
  <si>
    <t>or 10x2</t>
  </si>
  <si>
    <t>2 initial suspensions each from 10 different samples accumulating within a longer period of time;</t>
  </si>
  <si>
    <t>the repeatability conditions apply only to the single duplicate determination;</t>
  </si>
  <si>
    <t>the double determination takes place on the same preparation day;</t>
  </si>
  <si>
    <t>suitable for frequent feed types and small sample quantities;</t>
  </si>
  <si>
    <t>Count</t>
  </si>
  <si>
    <t>The sum of the colonies of all plates used for evaluation must be at least 30.</t>
  </si>
  <si>
    <t>Counting should always be done by the same person</t>
  </si>
  <si>
    <t>Example:</t>
  </si>
  <si>
    <t>Dilution step d1 with p1=2 plates: 1st plate 50 colonies + 2nd plate 52 colonies = 102 = k1</t>
  </si>
  <si>
    <t>Dilution stage d2 with p2=2 plates: 1st plate 3 colonies + 2nd plate 5 colonies = 8 = k2</t>
  </si>
  <si>
    <t>k1 + K2 = N = 110; N&gt;30 therefore evaluable</t>
  </si>
  <si>
    <t>Indication of results</t>
  </si>
  <si>
    <t>Fill in all boxes outlined in red</t>
  </si>
  <si>
    <t>Calculations are automatic, cell protection is activated</t>
  </si>
  <si>
    <t>Duplicate tabs so that bacteria and fungi can be recorded in separate sheets</t>
  </si>
  <si>
    <t>Determination of the matrix uncertainty of feeding-stuffs according to DIN EN ISO 19036:2019 by the VDLUFA Working Group Microbiology</t>
  </si>
  <si>
    <t>microbiology</t>
  </si>
  <si>
    <t>LKS mbh, microbiology</t>
  </si>
  <si>
    <t>Brewers grain</t>
  </si>
  <si>
    <t>VDLUFA III 28.1.2, bacteria</t>
  </si>
  <si>
    <t>shaking</t>
  </si>
  <si>
    <t>VDLUFA III 28.1.2 yeasts</t>
  </si>
  <si>
    <t>without</t>
  </si>
  <si>
    <t>pelleted compound feed for chickens for fattening</t>
  </si>
  <si>
    <t>yeasts</t>
  </si>
  <si>
    <t>treated with stomacher</t>
  </si>
  <si>
    <t>VDLUFA III 28.1.2 bacteria</t>
  </si>
  <si>
    <t>shaking 20 min</t>
  </si>
  <si>
    <t>treated with scissors and stomacher</t>
  </si>
  <si>
    <t>VDLUFA 28.1.2 yeasts</t>
  </si>
  <si>
    <t>VDLUFA 28.1.2, moulds and Dematiaceae</t>
  </si>
  <si>
    <t>28.1.2 bacteria</t>
  </si>
  <si>
    <t>28.1.2, fungi</t>
  </si>
  <si>
    <t>VDLUFA 28.1.1 - 28.1.4, bacteria</t>
  </si>
  <si>
    <t>treated with mill and stomacher</t>
  </si>
  <si>
    <t>VDLUFA 28.1.1 - 28.1.4, fungi</t>
  </si>
  <si>
    <t>milled</t>
  </si>
  <si>
    <t>total aerobic bacteria count</t>
  </si>
  <si>
    <t>cut into the smallest possible pieces with a sterile cutting tool</t>
  </si>
  <si>
    <t>Straw</t>
  </si>
  <si>
    <t>matrix</t>
  </si>
  <si>
    <t>bacteria</t>
  </si>
  <si>
    <t>fungi</t>
  </si>
  <si>
    <t>Enterobacteriaceae</t>
  </si>
  <si>
    <t>Rapsextraktionsschrot</t>
  </si>
  <si>
    <t>Weizenkörner</t>
  </si>
  <si>
    <t>Hafer (Körner+Flocken)</t>
  </si>
  <si>
    <t>Gerste (Körner+Schrot)</t>
  </si>
  <si>
    <t>Roggen (Körner+Schrot)</t>
  </si>
  <si>
    <t>Flüssigfutter</t>
  </si>
  <si>
    <t>Mischfutter pel.</t>
  </si>
  <si>
    <t>Geteidemehl</t>
  </si>
  <si>
    <t>Heu #1</t>
  </si>
  <si>
    <t>Heu #2</t>
  </si>
  <si>
    <t>BARF #2 (Leber)</t>
  </si>
  <si>
    <t>BARF #1 (Fleisch)</t>
  </si>
  <si>
    <t>Kauspiel #2 (Lunge)</t>
  </si>
  <si>
    <t>Kauspiel #1 (Hälse)</t>
  </si>
  <si>
    <t>22V08266</t>
  </si>
  <si>
    <t>complete feed for fattening pigs, floury</t>
  </si>
  <si>
    <t>quality step IV (spoiled)</t>
  </si>
  <si>
    <t>22V11776</t>
  </si>
  <si>
    <t>rye</t>
  </si>
  <si>
    <t>VDLUFA 28.1.2, bacteria</t>
  </si>
  <si>
    <t>Halle</t>
  </si>
  <si>
    <t>Grains/grinded</t>
  </si>
  <si>
    <t>1923 (2022)</t>
  </si>
  <si>
    <t>0214 (2022)</t>
  </si>
  <si>
    <t>3127 (2015)</t>
  </si>
  <si>
    <t>3159 (2021)</t>
  </si>
  <si>
    <t>0069 (2018)</t>
  </si>
  <si>
    <t>2586 (2019)</t>
  </si>
  <si>
    <t>1925 (2017)</t>
  </si>
  <si>
    <t>2760 (2016)</t>
  </si>
  <si>
    <t>0129 (2014)</t>
  </si>
  <si>
    <t>2063 (2016)</t>
  </si>
  <si>
    <t xml:space="preserve">VDLUFA 28.1.2, moulds and Dematiaceae </t>
  </si>
  <si>
    <t>oats</t>
  </si>
  <si>
    <t>15 sec ground</t>
  </si>
  <si>
    <t>0293 (2022)</t>
  </si>
  <si>
    <t>3085 (2019)</t>
  </si>
  <si>
    <t>2508 (2019)</t>
  </si>
  <si>
    <t>1873 (2018)</t>
  </si>
  <si>
    <t>0389 (2018)</t>
  </si>
  <si>
    <t>4548 (2017)</t>
  </si>
  <si>
    <t>4479 (2017)</t>
  </si>
  <si>
    <t>3689 (2016)</t>
  </si>
  <si>
    <t>0070 (2015)</t>
  </si>
  <si>
    <t>0197 (2015)</t>
  </si>
  <si>
    <t>VDLUFA 28.1.2, fungi</t>
  </si>
  <si>
    <t>0461 (2021)</t>
  </si>
  <si>
    <t>2595 (2019)</t>
  </si>
  <si>
    <t>2314 (2017)</t>
  </si>
  <si>
    <t>0424 (2016)</t>
  </si>
  <si>
    <t>barley (grains/grit/milled)</t>
  </si>
  <si>
    <t>4480 (2017)</t>
  </si>
  <si>
    <t>2598 (2016)</t>
  </si>
  <si>
    <t>294 (2022)</t>
  </si>
  <si>
    <t>4119 (2015)</t>
  </si>
  <si>
    <t>3181 (2021)</t>
  </si>
  <si>
    <t>2365 (2021)</t>
  </si>
  <si>
    <t>2716 (2019)</t>
  </si>
  <si>
    <t>2332 (2021)</t>
  </si>
  <si>
    <t>1021 (2021)</t>
  </si>
  <si>
    <t>1673 (2021)</t>
  </si>
  <si>
    <t>VDLUFA 28.1.2, yeasts</t>
  </si>
  <si>
    <t>1637 (2022)</t>
  </si>
  <si>
    <t>3196 (2019)</t>
  </si>
  <si>
    <t>Malzkeime</t>
  </si>
  <si>
    <t>06-99922-01885</t>
  </si>
  <si>
    <t>mixed in the bag by hand</t>
  </si>
  <si>
    <t>21P04597</t>
  </si>
  <si>
    <t>LALLF NB</t>
  </si>
  <si>
    <t>20LFM0174-01</t>
  </si>
  <si>
    <t>wheat</t>
  </si>
  <si>
    <t>0315 (2022)</t>
  </si>
  <si>
    <t>1993 (2022)</t>
  </si>
  <si>
    <t>2263 (2018)</t>
  </si>
  <si>
    <t>2207 (2021)</t>
  </si>
  <si>
    <t>0791 (2020)</t>
  </si>
  <si>
    <t>2599 (2019)</t>
  </si>
  <si>
    <t>2129 (2020)</t>
  </si>
  <si>
    <t>2961 (2020)</t>
  </si>
  <si>
    <t>1799 (2018)</t>
  </si>
  <si>
    <t>2867 (2019)</t>
  </si>
  <si>
    <t>1978 (2018)</t>
  </si>
  <si>
    <t>2541 (2018)</t>
  </si>
  <si>
    <t>2015 (2016)</t>
  </si>
  <si>
    <t>shaker 20 min</t>
  </si>
  <si>
    <t>Biertreber</t>
  </si>
  <si>
    <t>soybean extraction meal #3</t>
  </si>
  <si>
    <t>brewers grain</t>
  </si>
  <si>
    <t>liquid feed</t>
  </si>
  <si>
    <t>rape extraction meal</t>
  </si>
  <si>
    <t>malt sprouts, pressed</t>
  </si>
  <si>
    <t>total microbial count on PC agar</t>
  </si>
  <si>
    <t>liquid feed (trough sample)</t>
  </si>
  <si>
    <t>barley</t>
  </si>
  <si>
    <t>straw</t>
  </si>
  <si>
    <t>chew toy #2: dried beef lung</t>
  </si>
  <si>
    <t>chew toy #1: dried chicken necks</t>
  </si>
  <si>
    <t>soybean extraction meal #2</t>
  </si>
  <si>
    <t>soybean extraction meal #1</t>
  </si>
  <si>
    <t>grain flour</t>
  </si>
  <si>
    <t>hay #2</t>
  </si>
  <si>
    <t>hay #1</t>
  </si>
  <si>
    <t>BARF #2 - liver (whole)</t>
  </si>
  <si>
    <t>BARF #1 - coarsely chopped meat</t>
  </si>
  <si>
    <t>maize silage</t>
  </si>
  <si>
    <t>Getreideschrot #1</t>
  </si>
  <si>
    <t>grain meal #1: wheat/barley</t>
  </si>
  <si>
    <t>grain meal #1</t>
  </si>
  <si>
    <t>grain meal #2</t>
  </si>
  <si>
    <t>Getreidemischschrot #2</t>
  </si>
  <si>
    <t>pelleted compound feed for chickens</t>
  </si>
  <si>
    <t>oats B</t>
  </si>
  <si>
    <t>grain meal #2 B</t>
  </si>
  <si>
    <t>oats F</t>
  </si>
  <si>
    <t>LALLF</t>
  </si>
  <si>
    <t>grain meal #2 M</t>
  </si>
  <si>
    <t>sunflower kernels</t>
  </si>
  <si>
    <t>VDLUFA III 28.1.2 fungi</t>
  </si>
  <si>
    <t>grounded</t>
  </si>
  <si>
    <t>584 (2016)</t>
  </si>
  <si>
    <t>540 (2016)</t>
  </si>
  <si>
    <t>1750 (2021)</t>
  </si>
  <si>
    <t>F221907</t>
  </si>
  <si>
    <t>2141 (2022)</t>
  </si>
  <si>
    <t>1905 (2021)</t>
  </si>
  <si>
    <t>F230476</t>
  </si>
  <si>
    <t>3197 (2021)</t>
  </si>
  <si>
    <t>197 (2021)</t>
  </si>
  <si>
    <t>2776 (2021)</t>
  </si>
  <si>
    <t>F220141</t>
  </si>
  <si>
    <t>3751 (2016)</t>
  </si>
  <si>
    <t>Sonnenblumenkerne</t>
  </si>
  <si>
    <t>sunflower kernels B</t>
  </si>
  <si>
    <t>sunflower kernels F</t>
  </si>
  <si>
    <t>soybean extraction meal #4</t>
  </si>
  <si>
    <t>soybean extraction meal #5</t>
  </si>
  <si>
    <t>F230739</t>
  </si>
  <si>
    <t>F230740</t>
  </si>
  <si>
    <t>F230741</t>
  </si>
  <si>
    <t>F230742</t>
  </si>
  <si>
    <t>F230732</t>
  </si>
  <si>
    <t>F230733</t>
  </si>
  <si>
    <t>F230734</t>
  </si>
  <si>
    <t>F230735</t>
  </si>
  <si>
    <t>F230736</t>
  </si>
  <si>
    <t>F230737</t>
  </si>
  <si>
    <t>F230738</t>
  </si>
  <si>
    <t>F230744</t>
  </si>
  <si>
    <t>F230745</t>
  </si>
  <si>
    <t>F230746</t>
  </si>
  <si>
    <t>F230747</t>
  </si>
  <si>
    <t>F230748</t>
  </si>
  <si>
    <t>F230749</t>
  </si>
  <si>
    <t>F230750</t>
  </si>
  <si>
    <t>F230751</t>
  </si>
  <si>
    <t>F230752</t>
  </si>
  <si>
    <t>F230753</t>
  </si>
  <si>
    <t>F230754</t>
  </si>
  <si>
    <t>soybean extraction meal #6</t>
  </si>
  <si>
    <t>stomacher</t>
  </si>
  <si>
    <t>soybean extraction meal #8</t>
  </si>
  <si>
    <t>soybean extraction meal #9</t>
  </si>
  <si>
    <t>ground with a ball mill before stomacher</t>
  </si>
  <si>
    <t>grinded with an IKA mill prior to stomacher</t>
  </si>
  <si>
    <t>pelleted compound feed for chickens B</t>
  </si>
  <si>
    <t>complete feed for fattening pigs, floury B</t>
  </si>
  <si>
    <t>rye B</t>
  </si>
  <si>
    <t>rape extraction meal B</t>
  </si>
  <si>
    <t>grain flour B</t>
  </si>
  <si>
    <t>hay2 B</t>
  </si>
  <si>
    <t>barley B</t>
  </si>
  <si>
    <t>hay1 B</t>
  </si>
  <si>
    <t>liquid feed B</t>
  </si>
  <si>
    <t>hay2 F</t>
  </si>
  <si>
    <t>hay1 M</t>
  </si>
  <si>
    <t>hay1 Y</t>
  </si>
  <si>
    <t>barley M</t>
  </si>
  <si>
    <t>barley Y</t>
  </si>
  <si>
    <t>grain flower F</t>
  </si>
  <si>
    <t>wheat B</t>
  </si>
  <si>
    <t>wheat M</t>
  </si>
  <si>
    <t>wheat Y</t>
  </si>
  <si>
    <t>straw B</t>
  </si>
  <si>
    <t>brewers grain Y</t>
  </si>
  <si>
    <t>maize silage B</t>
  </si>
  <si>
    <t>maize silage Y</t>
  </si>
  <si>
    <t>chew toy #2: dried beef lung B</t>
  </si>
  <si>
    <t>BARF #2: liver E</t>
  </si>
  <si>
    <t>BARF #2: liver</t>
  </si>
  <si>
    <t>BARF #1: coarsely chopped meat E</t>
  </si>
  <si>
    <t>BARF #1: coarsely chopped meat</t>
  </si>
  <si>
    <t>chew toy #1: dried chicken necks B</t>
  </si>
  <si>
    <t>soybean extraction meals:</t>
  </si>
  <si>
    <t>additional grinding</t>
  </si>
  <si>
    <t>soybean extraction meal #6 (F220575) B</t>
  </si>
  <si>
    <t>soybean extraction meal #7 (F220575) B</t>
  </si>
  <si>
    <t>soybean extraction meal #1 (LGL1) B</t>
  </si>
  <si>
    <t>soybean extraction meal #2 (LGL2) B</t>
  </si>
  <si>
    <t>soybean extraction meal #3 (21P04597) B</t>
  </si>
  <si>
    <t>soybean extraction meal #8 (F221740) B</t>
  </si>
  <si>
    <t>soybean extraction meal #9 (F221740) B</t>
  </si>
  <si>
    <t>brewers grain B</t>
  </si>
  <si>
    <t>grain meal #1 B</t>
  </si>
  <si>
    <t>grain meal #1 Y</t>
  </si>
  <si>
    <t>grass silage</t>
  </si>
  <si>
    <t>Grassilage</t>
  </si>
  <si>
    <t>lab</t>
  </si>
  <si>
    <t>order</t>
  </si>
  <si>
    <t>number of test series plus soybean extraction meal</t>
  </si>
  <si>
    <t>number of test series without soybean extraction meal (figure 1)</t>
  </si>
  <si>
    <t>additional mycological microorganism groups:</t>
  </si>
  <si>
    <t>(F = fungi; M = moulds and Dematiaceae; Y = yeasts)</t>
  </si>
  <si>
    <t>(B = mesophilic aerobic bacteria; E = Enterobacteriaceae)</t>
  </si>
  <si>
    <t>bacterial microorganism groups:</t>
  </si>
  <si>
    <t>ground</t>
  </si>
  <si>
    <t>soybean extraction meal #4 (LALLF FM-23-1529) B</t>
  </si>
  <si>
    <t>soybean extraction meal #5 (LALLF FM-23-1529) B</t>
  </si>
  <si>
    <t>summarised data for figure 1</t>
  </si>
  <si>
    <t>summarysied data for table 1</t>
  </si>
  <si>
    <t>Additional information on minimum and maximum microbial counts and on the testing scheme</t>
  </si>
  <si>
    <t>German term:</t>
  </si>
  <si>
    <r>
      <t xml:space="preserve">moulds and </t>
    </r>
    <r>
      <rPr>
        <b/>
        <sz val="10"/>
        <rFont val="Arial Narrow"/>
        <family val="2"/>
      </rPr>
      <t>Dematiaceae</t>
    </r>
  </si>
  <si>
    <r>
      <t>u</t>
    </r>
    <r>
      <rPr>
        <b/>
        <vertAlign val="subscript"/>
        <sz val="11"/>
        <color rgb="FFFF0000"/>
        <rFont val="Times New Roman"/>
        <family val="1"/>
      </rPr>
      <t>matrix</t>
    </r>
    <r>
      <rPr>
        <b/>
        <sz val="11"/>
        <color rgb="FFFF0000"/>
        <rFont val="Times New Roman"/>
        <family val="1"/>
      </rPr>
      <t xml:space="preserve"> (log</t>
    </r>
    <r>
      <rPr>
        <b/>
        <vertAlign val="subscript"/>
        <sz val="11"/>
        <color rgb="FFFF0000"/>
        <rFont val="Times New Roman"/>
        <family val="1"/>
      </rPr>
      <t>10</t>
    </r>
    <r>
      <rPr>
        <b/>
        <sz val="11"/>
        <color rgb="FFFF0000"/>
        <rFont val="Times New Roman"/>
        <family val="1"/>
      </rPr>
      <t xml:space="preserve"> cfu/g)</t>
    </r>
  </si>
  <si>
    <r>
      <t>u</t>
    </r>
    <r>
      <rPr>
        <b/>
        <vertAlign val="subscript"/>
        <sz val="11"/>
        <color rgb="FFFF0000"/>
        <rFont val="Arial"/>
        <family val="2"/>
      </rPr>
      <t>matrix</t>
    </r>
    <r>
      <rPr>
        <b/>
        <sz val="11"/>
        <color rgb="FFFF0000"/>
        <rFont val="Arial"/>
        <family val="2"/>
      </rPr>
      <t xml:space="preserve"> (log</t>
    </r>
    <r>
      <rPr>
        <b/>
        <vertAlign val="subscript"/>
        <sz val="11"/>
        <color rgb="FFFF0000"/>
        <rFont val="Arial"/>
        <family val="2"/>
      </rPr>
      <t>10</t>
    </r>
    <r>
      <rPr>
        <b/>
        <sz val="11"/>
        <color rgb="FFFF0000"/>
        <rFont val="Arial"/>
        <family val="2"/>
      </rPr>
      <t xml:space="preserve"> cfu/g)</t>
    </r>
  </si>
  <si>
    <t>min log cfu/g</t>
  </si>
  <si>
    <t>max log cfu/g</t>
  </si>
  <si>
    <t>(B = mesophilic aerobic bacteria)</t>
  </si>
  <si>
    <t>number of samples without soybean extraction meal (figure 1)</t>
  </si>
  <si>
    <t>number of samples plus soybean extraction meal</t>
  </si>
  <si>
    <t>Compilation of all test series listed in Figure 1</t>
  </si>
  <si>
    <t>Appendix S1: Raw data feeding stuffs</t>
  </si>
  <si>
    <t>total bacterial count, F221740</t>
  </si>
  <si>
    <t>total bacterial count, F220575</t>
  </si>
  <si>
    <t>total bacterial count, FM-23-1529 (LALLF)</t>
  </si>
  <si>
    <t>total bacterial count, F231007</t>
  </si>
  <si>
    <t>total bacterial count</t>
  </si>
  <si>
    <r>
      <t>(log cfu-log mean)</t>
    </r>
    <r>
      <rPr>
        <b/>
        <vertAlign val="superscript"/>
        <sz val="10"/>
        <rFont val="Arial"/>
        <family val="2"/>
      </rPr>
      <t>2</t>
    </r>
  </si>
  <si>
    <r>
      <t>(log cfu-mean log cfu)</t>
    </r>
    <r>
      <rPr>
        <b/>
        <vertAlign val="superscript"/>
        <sz val="10"/>
        <rFont val="Arial"/>
        <family val="2"/>
      </rPr>
      <t>2</t>
    </r>
  </si>
  <si>
    <t>F02437</t>
  </si>
  <si>
    <t>F02435</t>
  </si>
  <si>
    <t>F210342 and F210343 only DG18 counted (contamination of some RoseBengal plates)</t>
  </si>
  <si>
    <t>LGL2</t>
  </si>
  <si>
    <t>LGL1</t>
  </si>
  <si>
    <t>F00208</t>
  </si>
  <si>
    <t>Due to the wide dispersion of the colony numbers 5 out of 11 results exceed the upper counting limit specified in the method (150 cfu/plate). Since this is a validation study and not a legal test report, this is acceptable. From a technical point of view, this is also fine because the colonies are very small with this method and it is just enough possible to count 800 colonies on 2 plates without having to worry about the colonies inhibiting or overlapping each 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</si>
</sst>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0"/>
    <numFmt numFmtId="166" formatCode="0.00000"/>
    <numFmt numFmtId="167" formatCode="0.0E+00"/>
  </numFmts>
  <fonts count="38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vertAlign val="subscript"/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color indexed="55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1"/>
      <name val="Times New Roman"/>
      <family val="1"/>
    </font>
    <font>
      <sz val="11"/>
      <color indexed="48"/>
      <name val="Times New Roman"/>
      <family val="1"/>
    </font>
    <font>
      <sz val="11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name val="Arial"/>
      <family val="2"/>
    </font>
    <font>
      <i/>
      <sz val="10"/>
      <color rgb="FF00B050"/>
      <name val="Arial"/>
      <family val="2"/>
    </font>
    <font>
      <b/>
      <i/>
      <sz val="10"/>
      <color rgb="FF0070C0"/>
      <name val="Arial"/>
      <family val="2"/>
    </font>
    <font>
      <vertAlign val="subscript"/>
      <sz val="10"/>
      <color theme="1"/>
      <name val="Arial"/>
      <family val="2"/>
    </font>
    <font>
      <sz val="11"/>
      <color theme="0" tint="-0.34998626667073579"/>
      <name val="Times New Roman"/>
      <family val="1"/>
    </font>
    <font>
      <sz val="11"/>
      <color theme="0" tint="-0.249977111117893"/>
      <name val="Times New Roman"/>
      <family val="1"/>
    </font>
    <font>
      <sz val="11"/>
      <color rgb="FF0070C0"/>
      <name val="Times New Roman"/>
      <family val="1"/>
    </font>
    <font>
      <u/>
      <sz val="10"/>
      <color theme="10"/>
      <name val="Arial"/>
      <family val="2"/>
    </font>
    <font>
      <b/>
      <sz val="11"/>
      <color rgb="FFFF0000"/>
      <name val="Arial"/>
      <family val="2"/>
    </font>
    <font>
      <b/>
      <sz val="11"/>
      <color rgb="FFFF0000"/>
      <name val="Times New Roman"/>
      <family val="1"/>
    </font>
    <font>
      <b/>
      <sz val="11"/>
      <name val="Arial Narrow"/>
      <family val="2"/>
    </font>
    <font>
      <b/>
      <sz val="10"/>
      <name val="Arial Narrow"/>
      <family val="2"/>
    </font>
    <font>
      <b/>
      <vertAlign val="subscript"/>
      <sz val="11"/>
      <color rgb="FFFF0000"/>
      <name val="Times New Roman"/>
      <family val="1"/>
    </font>
    <font>
      <b/>
      <vertAlign val="subscript"/>
      <sz val="11"/>
      <color rgb="FFFF0000"/>
      <name val="Arial"/>
      <family val="2"/>
    </font>
    <font>
      <b/>
      <sz val="12"/>
      <name val="Arial"/>
      <family val="2"/>
    </font>
    <font>
      <b/>
      <vertAlign val="superscript"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66">
    <border>
      <left/>
      <right/>
      <top/>
      <bottom/>
      <diagonal/>
    </border>
    <border>
      <left style="dotted">
        <color indexed="10"/>
      </left>
      <right style="dotted">
        <color indexed="10"/>
      </right>
      <top style="thin">
        <color indexed="64"/>
      </top>
      <bottom style="dotted">
        <color indexed="10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dashed">
        <color indexed="10"/>
      </left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10"/>
      </left>
      <right/>
      <top style="dashed">
        <color indexed="10"/>
      </top>
      <bottom style="dashed">
        <color indexed="10"/>
      </bottom>
      <diagonal/>
    </border>
    <border>
      <left/>
      <right/>
      <top style="dashed">
        <color indexed="10"/>
      </top>
      <bottom style="dashed">
        <color indexed="10"/>
      </bottom>
      <diagonal/>
    </border>
    <border>
      <left/>
      <right style="dashed">
        <color indexed="10"/>
      </right>
      <top style="dashed">
        <color indexed="10"/>
      </top>
      <bottom style="dashed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10"/>
      </left>
      <right style="dotted">
        <color indexed="10"/>
      </right>
      <top style="dotted">
        <color indexed="10"/>
      </top>
      <bottom style="dotted">
        <color indexed="10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ashed">
        <color indexed="10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10"/>
      </left>
      <right style="dotted">
        <color indexed="10"/>
      </right>
      <top/>
      <bottom style="dotted">
        <color indexed="10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dotted">
        <color rgb="FFFF0000"/>
      </bottom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rgb="FFFF0000"/>
      </left>
      <right style="dotted">
        <color rgb="FFFF0000"/>
      </right>
      <top style="dotted">
        <color rgb="FFFF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rgb="FFFF0000"/>
      </left>
      <right style="dotted">
        <color rgb="FFFF0000"/>
      </right>
      <top/>
      <bottom style="dotted">
        <color rgb="FFFF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 style="dotted">
        <color indexed="10"/>
      </top>
      <bottom/>
      <diagonal/>
    </border>
  </borders>
  <cellStyleXfs count="7">
    <xf numFmtId="0" fontId="0" fillId="0" borderId="0"/>
    <xf numFmtId="0" fontId="12" fillId="0" borderId="0"/>
    <xf numFmtId="0" fontId="6" fillId="0" borderId="0"/>
    <xf numFmtId="0" fontId="17" fillId="0" borderId="0"/>
    <xf numFmtId="0" fontId="3" fillId="0" borderId="0"/>
    <xf numFmtId="0" fontId="5" fillId="0" borderId="0"/>
    <xf numFmtId="0" fontId="29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12" fillId="0" borderId="0" xfId="0" applyFont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1" fontId="0" fillId="0" borderId="24" xfId="0" applyNumberFormat="1" applyBorder="1" applyAlignment="1">
      <alignment horizontal="center" vertical="center"/>
    </xf>
    <xf numFmtId="165" fontId="0" fillId="0" borderId="25" xfId="0" applyNumberFormat="1" applyBorder="1" applyAlignment="1">
      <alignment horizontal="center" vertical="center"/>
    </xf>
    <xf numFmtId="166" fontId="0" fillId="0" borderId="26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1" fontId="10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/>
    </xf>
    <xf numFmtId="166" fontId="9" fillId="0" borderId="4" xfId="0" applyNumberFormat="1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66" fontId="9" fillId="2" borderId="4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166" fontId="0" fillId="0" borderId="35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11" fontId="0" fillId="0" borderId="21" xfId="0" applyNumberFormat="1" applyBorder="1" applyAlignment="1">
      <alignment horizontal="center" vertical="center"/>
    </xf>
    <xf numFmtId="0" fontId="15" fillId="0" borderId="15" xfId="0" applyFont="1" applyBorder="1" applyAlignment="1" applyProtection="1">
      <alignment horizontal="center"/>
      <protection locked="0"/>
    </xf>
    <xf numFmtId="0" fontId="15" fillId="0" borderId="28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166" fontId="10" fillId="2" borderId="0" xfId="0" applyNumberFormat="1" applyFont="1" applyFill="1" applyAlignment="1">
      <alignment horizontal="center" vertical="center"/>
    </xf>
    <xf numFmtId="0" fontId="15" fillId="0" borderId="34" xfId="0" applyFont="1" applyBorder="1" applyAlignment="1" applyProtection="1">
      <alignment horizontal="center" vertical="center"/>
      <protection locked="0"/>
    </xf>
    <xf numFmtId="11" fontId="0" fillId="0" borderId="25" xfId="0" applyNumberFormat="1" applyBorder="1" applyAlignment="1">
      <alignment horizontal="center" vertical="center"/>
    </xf>
    <xf numFmtId="166" fontId="0" fillId="0" borderId="50" xfId="0" applyNumberForma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47" xfId="0" applyFont="1" applyBorder="1" applyAlignment="1">
      <alignment horizontal="center" vertical="center"/>
    </xf>
    <xf numFmtId="0" fontId="14" fillId="0" borderId="47" xfId="0" applyFont="1" applyBorder="1" applyAlignment="1">
      <alignment horizontal="center" vertical="center"/>
    </xf>
    <xf numFmtId="0" fontId="12" fillId="0" borderId="0" xfId="1"/>
    <xf numFmtId="0" fontId="11" fillId="0" borderId="0" xfId="1" applyFont="1"/>
    <xf numFmtId="0" fontId="12" fillId="0" borderId="0" xfId="1" applyAlignment="1">
      <alignment horizontal="right"/>
    </xf>
    <xf numFmtId="0" fontId="15" fillId="0" borderId="15" xfId="1" applyFont="1" applyBorder="1" applyAlignment="1" applyProtection="1">
      <alignment horizontal="center"/>
      <protection locked="0"/>
    </xf>
    <xf numFmtId="0" fontId="9" fillId="0" borderId="45" xfId="1" applyFont="1" applyBorder="1" applyAlignment="1">
      <alignment horizontal="center" vertic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14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center"/>
    </xf>
    <xf numFmtId="0" fontId="9" fillId="0" borderId="39" xfId="1" applyFont="1" applyBorder="1" applyAlignment="1">
      <alignment horizontal="center"/>
    </xf>
    <xf numFmtId="0" fontId="9" fillId="0" borderId="49" xfId="1" applyFont="1" applyBorder="1" applyAlignment="1">
      <alignment horizontal="center" vertical="center"/>
    </xf>
    <xf numFmtId="0" fontId="12" fillId="0" borderId="33" xfId="1" applyBorder="1" applyAlignment="1">
      <alignment horizontal="center"/>
    </xf>
    <xf numFmtId="0" fontId="15" fillId="0" borderId="34" xfId="1" applyFont="1" applyBorder="1" applyAlignment="1" applyProtection="1">
      <alignment horizontal="center"/>
      <protection locked="0"/>
    </xf>
    <xf numFmtId="0" fontId="12" fillId="0" borderId="23" xfId="1" applyBorder="1" applyAlignment="1">
      <alignment horizontal="center"/>
    </xf>
    <xf numFmtId="11" fontId="12" fillId="0" borderId="25" xfId="1" applyNumberFormat="1" applyBorder="1" applyAlignment="1">
      <alignment horizontal="center"/>
    </xf>
    <xf numFmtId="165" fontId="12" fillId="0" borderId="25" xfId="1" applyNumberFormat="1" applyBorder="1" applyAlignment="1">
      <alignment horizontal="center"/>
    </xf>
    <xf numFmtId="0" fontId="12" fillId="0" borderId="13" xfId="1" applyBorder="1" applyAlignment="1">
      <alignment horizontal="center"/>
    </xf>
    <xf numFmtId="0" fontId="15" fillId="0" borderId="7" xfId="1" applyFont="1" applyBorder="1" applyAlignment="1" applyProtection="1">
      <alignment horizontal="center"/>
      <protection locked="0"/>
    </xf>
    <xf numFmtId="0" fontId="12" fillId="0" borderId="8" xfId="1" applyBorder="1" applyAlignment="1">
      <alignment horizontal="center"/>
    </xf>
    <xf numFmtId="11" fontId="12" fillId="0" borderId="9" xfId="1" applyNumberFormat="1" applyBorder="1" applyAlignment="1">
      <alignment horizontal="center"/>
    </xf>
    <xf numFmtId="165" fontId="12" fillId="0" borderId="10" xfId="1" applyNumberFormat="1" applyBorder="1" applyAlignment="1">
      <alignment horizontal="center"/>
    </xf>
    <xf numFmtId="0" fontId="12" fillId="0" borderId="12" xfId="1" applyBorder="1" applyAlignment="1">
      <alignment horizontal="center"/>
    </xf>
    <xf numFmtId="0" fontId="15" fillId="0" borderId="1" xfId="1" applyFont="1" applyBorder="1" applyAlignment="1" applyProtection="1">
      <alignment horizontal="center"/>
      <protection locked="0"/>
    </xf>
    <xf numFmtId="0" fontId="12" fillId="0" borderId="5" xfId="1" applyBorder="1" applyAlignment="1">
      <alignment horizontal="center"/>
    </xf>
    <xf numFmtId="11" fontId="12" fillId="0" borderId="6" xfId="1" applyNumberFormat="1" applyBorder="1" applyAlignment="1">
      <alignment horizontal="center"/>
    </xf>
    <xf numFmtId="165" fontId="12" fillId="0" borderId="6" xfId="1" applyNumberFormat="1" applyBorder="1" applyAlignment="1">
      <alignment horizontal="center"/>
    </xf>
    <xf numFmtId="0" fontId="12" fillId="0" borderId="11" xfId="1" applyBorder="1" applyAlignment="1">
      <alignment horizontal="center"/>
    </xf>
    <xf numFmtId="0" fontId="12" fillId="0" borderId="14" xfId="1" applyBorder="1" applyAlignment="1">
      <alignment horizontal="center"/>
    </xf>
    <xf numFmtId="0" fontId="15" fillId="0" borderId="2" xfId="1" applyFont="1" applyBorder="1" applyAlignment="1" applyProtection="1">
      <alignment horizontal="center"/>
      <protection locked="0"/>
    </xf>
    <xf numFmtId="0" fontId="12" fillId="0" borderId="3" xfId="1" applyBorder="1" applyAlignment="1">
      <alignment horizontal="center"/>
    </xf>
    <xf numFmtId="11" fontId="12" fillId="0" borderId="21" xfId="1" applyNumberFormat="1" applyBorder="1" applyAlignment="1">
      <alignment horizontal="center"/>
    </xf>
    <xf numFmtId="165" fontId="12" fillId="0" borderId="32" xfId="1" applyNumberFormat="1" applyBorder="1" applyAlignment="1">
      <alignment horizontal="center"/>
    </xf>
    <xf numFmtId="166" fontId="9" fillId="0" borderId="38" xfId="1" applyNumberFormat="1" applyFont="1" applyBorder="1" applyAlignment="1">
      <alignment horizontal="center"/>
    </xf>
    <xf numFmtId="0" fontId="12" fillId="0" borderId="4" xfId="1" applyBorder="1" applyAlignment="1">
      <alignment horizontal="center" vertical="center"/>
    </xf>
    <xf numFmtId="0" fontId="9" fillId="0" borderId="0" xfId="1" applyFont="1"/>
    <xf numFmtId="0" fontId="9" fillId="0" borderId="0" xfId="1" applyFont="1" applyAlignment="1">
      <alignment horizontal="right"/>
    </xf>
    <xf numFmtId="11" fontId="10" fillId="0" borderId="0" xfId="1" applyNumberFormat="1" applyFont="1" applyAlignment="1">
      <alignment horizontal="center"/>
    </xf>
    <xf numFmtId="165" fontId="9" fillId="0" borderId="0" xfId="1" applyNumberFormat="1" applyFont="1" applyAlignment="1">
      <alignment horizontal="center"/>
    </xf>
    <xf numFmtId="166" fontId="9" fillId="0" borderId="4" xfId="1" applyNumberFormat="1" applyFont="1" applyBorder="1" applyAlignment="1">
      <alignment horizontal="center"/>
    </xf>
    <xf numFmtId="0" fontId="10" fillId="0" borderId="0" xfId="1" applyFont="1" applyAlignment="1">
      <alignment horizontal="right"/>
    </xf>
    <xf numFmtId="165" fontId="10" fillId="0" borderId="0" xfId="1" applyNumberFormat="1" applyFont="1" applyAlignment="1">
      <alignment horizontal="center"/>
    </xf>
    <xf numFmtId="164" fontId="10" fillId="0" borderId="0" xfId="1" applyNumberFormat="1" applyFont="1" applyAlignment="1">
      <alignment horizontal="center"/>
    </xf>
    <xf numFmtId="0" fontId="9" fillId="0" borderId="16" xfId="1" applyFont="1" applyBorder="1" applyAlignment="1">
      <alignment horizontal="center"/>
    </xf>
    <xf numFmtId="166" fontId="9" fillId="2" borderId="4" xfId="1" applyNumberFormat="1" applyFont="1" applyFill="1" applyBorder="1" applyAlignment="1">
      <alignment horizontal="center"/>
    </xf>
    <xf numFmtId="0" fontId="12" fillId="0" borderId="0" xfId="1" applyAlignment="1">
      <alignment horizontal="center"/>
    </xf>
    <xf numFmtId="0" fontId="9" fillId="0" borderId="0" xfId="1" applyFont="1" applyAlignment="1">
      <alignment horizontal="center"/>
    </xf>
    <xf numFmtId="0" fontId="17" fillId="0" borderId="0" xfId="3"/>
    <xf numFmtId="0" fontId="18" fillId="0" borderId="0" xfId="3" applyFont="1"/>
    <xf numFmtId="0" fontId="17" fillId="0" borderId="0" xfId="3" applyAlignment="1">
      <alignment horizontal="center"/>
    </xf>
    <xf numFmtId="0" fontId="4" fillId="0" borderId="0" xfId="0" applyFont="1"/>
    <xf numFmtId="11" fontId="15" fillId="0" borderId="34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15" fillId="0" borderId="34" xfId="0" applyFont="1" applyBorder="1" applyAlignment="1" applyProtection="1">
      <alignment horizontal="center"/>
      <protection locked="0"/>
    </xf>
    <xf numFmtId="0" fontId="0" fillId="0" borderId="23" xfId="0" applyBorder="1" applyAlignment="1">
      <alignment horizontal="center"/>
    </xf>
    <xf numFmtId="11" fontId="0" fillId="0" borderId="25" xfId="0" applyNumberFormat="1" applyBorder="1" applyAlignment="1">
      <alignment horizontal="center"/>
    </xf>
    <xf numFmtId="165" fontId="0" fillId="0" borderId="25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15" fillId="0" borderId="7" xfId="0" applyFont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11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2" xfId="0" applyBorder="1" applyAlignment="1">
      <alignment horizontal="center"/>
    </xf>
    <xf numFmtId="0" fontId="15" fillId="0" borderId="1" xfId="0" applyFont="1" applyBorder="1" applyAlignment="1" applyProtection="1">
      <alignment horizontal="center"/>
      <protection locked="0"/>
    </xf>
    <xf numFmtId="0" fontId="0" fillId="0" borderId="5" xfId="0" applyBorder="1" applyAlignment="1">
      <alignment horizontal="center"/>
    </xf>
    <xf numFmtId="11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15" fillId="0" borderId="2" xfId="0" applyFont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  <xf numFmtId="11" fontId="0" fillId="0" borderId="21" xfId="0" applyNumberForma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166" fontId="9" fillId="0" borderId="38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11" fontId="10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6" fontId="9" fillId="0" borderId="4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165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6" fontId="9" fillId="2" borderId="4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1" fontId="15" fillId="0" borderId="34" xfId="0" applyNumberFormat="1" applyFont="1" applyBorder="1" applyAlignment="1" applyProtection="1">
      <alignment horizontal="center" vertical="center"/>
      <protection locked="0"/>
    </xf>
    <xf numFmtId="1" fontId="15" fillId="0" borderId="28" xfId="0" applyNumberFormat="1" applyFont="1" applyBorder="1" applyAlignment="1" applyProtection="1">
      <alignment horizontal="center" vertical="center"/>
      <protection locked="0"/>
    </xf>
    <xf numFmtId="1" fontId="15" fillId="0" borderId="2" xfId="0" applyNumberFormat="1" applyFont="1" applyBorder="1" applyAlignment="1" applyProtection="1">
      <alignment horizontal="center" vertical="center"/>
      <protection locked="0"/>
    </xf>
    <xf numFmtId="0" fontId="12" fillId="0" borderId="22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11" fontId="12" fillId="0" borderId="25" xfId="0" applyNumberFormat="1" applyFont="1" applyBorder="1" applyAlignment="1">
      <alignment horizontal="center" vertical="center"/>
    </xf>
    <xf numFmtId="165" fontId="12" fillId="0" borderId="25" xfId="0" applyNumberFormat="1" applyFont="1" applyBorder="1" applyAlignment="1">
      <alignment horizontal="center" vertical="center"/>
    </xf>
    <xf numFmtId="166" fontId="12" fillId="0" borderId="50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11" fontId="12" fillId="0" borderId="24" xfId="0" applyNumberFormat="1" applyFont="1" applyBorder="1" applyAlignment="1">
      <alignment horizontal="center" vertical="center"/>
    </xf>
    <xf numFmtId="166" fontId="12" fillId="0" borderId="26" xfId="0" applyNumberFormat="1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23" fillId="0" borderId="28" xfId="0" applyFont="1" applyBorder="1" applyAlignment="1" applyProtection="1">
      <alignment horizontal="center" vertical="center"/>
      <protection locked="0"/>
    </xf>
    <xf numFmtId="0" fontId="23" fillId="0" borderId="2" xfId="0" applyFont="1" applyBorder="1" applyAlignment="1" applyProtection="1">
      <alignment horizontal="center" vertical="center"/>
      <protection locked="0"/>
    </xf>
    <xf numFmtId="167" fontId="12" fillId="0" borderId="0" xfId="1" applyNumberFormat="1"/>
    <xf numFmtId="167" fontId="17" fillId="0" borderId="0" xfId="3" applyNumberFormat="1"/>
    <xf numFmtId="2" fontId="2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4" applyAlignment="1">
      <alignment vertical="center"/>
    </xf>
    <xf numFmtId="0" fontId="16" fillId="0" borderId="0" xfId="1" applyFont="1"/>
    <xf numFmtId="0" fontId="9" fillId="0" borderId="52" xfId="0" applyFont="1" applyBorder="1" applyAlignment="1">
      <alignment horizontal="center" vertical="center"/>
    </xf>
    <xf numFmtId="0" fontId="27" fillId="0" borderId="0" xfId="3" applyFont="1"/>
    <xf numFmtId="165" fontId="0" fillId="0" borderId="0" xfId="0" applyNumberFormat="1"/>
    <xf numFmtId="166" fontId="0" fillId="0" borderId="0" xfId="0" applyNumberFormat="1"/>
    <xf numFmtId="0" fontId="2" fillId="0" borderId="0" xfId="0" applyFont="1"/>
    <xf numFmtId="165" fontId="12" fillId="0" borderId="0" xfId="1" applyNumberFormat="1"/>
    <xf numFmtId="0" fontId="12" fillId="0" borderId="30" xfId="0" applyFont="1" applyBorder="1" applyAlignment="1">
      <alignment horizontal="center" vertical="center"/>
    </xf>
    <xf numFmtId="0" fontId="15" fillId="0" borderId="64" xfId="0" applyFont="1" applyBorder="1" applyAlignment="1" applyProtection="1">
      <alignment horizontal="center" vertical="center"/>
      <protection locked="0"/>
    </xf>
    <xf numFmtId="0" fontId="15" fillId="0" borderId="65" xfId="0" applyFont="1" applyBorder="1" applyAlignment="1" applyProtection="1">
      <alignment horizontal="center" vertical="center"/>
      <protection locked="0"/>
    </xf>
    <xf numFmtId="0" fontId="0" fillId="0" borderId="63" xfId="0" applyBorder="1" applyAlignment="1">
      <alignment horizontal="center" vertical="center"/>
    </xf>
    <xf numFmtId="0" fontId="21" fillId="0" borderId="0" xfId="3" applyFont="1"/>
    <xf numFmtId="0" fontId="17" fillId="0" borderId="0" xfId="3" applyAlignment="1">
      <alignment horizontal="right"/>
    </xf>
    <xf numFmtId="0" fontId="26" fillId="0" borderId="0" xfId="3" applyFont="1"/>
    <xf numFmtId="0" fontId="20" fillId="0" borderId="0" xfId="3" applyFont="1" applyAlignment="1">
      <alignment horizontal="center"/>
    </xf>
    <xf numFmtId="0" fontId="17" fillId="0" borderId="20" xfId="3" applyBorder="1" applyAlignment="1">
      <alignment horizontal="right"/>
    </xf>
    <xf numFmtId="0" fontId="12" fillId="0" borderId="20" xfId="1" applyBorder="1" applyAlignment="1" applyProtection="1">
      <alignment horizontal="right" vertical="center"/>
      <protection locked="0"/>
    </xf>
    <xf numFmtId="0" fontId="20" fillId="0" borderId="0" xfId="3" applyFont="1"/>
    <xf numFmtId="0" fontId="12" fillId="0" borderId="20" xfId="1" applyBorder="1" applyAlignment="1">
      <alignment horizontal="right"/>
    </xf>
    <xf numFmtId="0" fontId="28" fillId="0" borderId="0" xfId="3" applyFont="1"/>
    <xf numFmtId="0" fontId="29" fillId="0" borderId="20" xfId="6" applyFill="1" applyBorder="1" applyAlignment="1">
      <alignment horizontal="center"/>
    </xf>
    <xf numFmtId="0" fontId="17" fillId="0" borderId="20" xfId="3" applyBorder="1" applyAlignment="1">
      <alignment horizontal="center"/>
    </xf>
    <xf numFmtId="0" fontId="12" fillId="0" borderId="20" xfId="1" applyBorder="1" applyAlignment="1">
      <alignment horizontal="center"/>
    </xf>
    <xf numFmtId="0" fontId="17" fillId="6" borderId="0" xfId="3" applyFill="1"/>
    <xf numFmtId="0" fontId="21" fillId="7" borderId="0" xfId="3" applyFont="1" applyFill="1" applyAlignment="1">
      <alignment horizontal="center"/>
    </xf>
    <xf numFmtId="0" fontId="17" fillId="7" borderId="0" xfId="3" applyFill="1" applyAlignment="1">
      <alignment horizontal="center"/>
    </xf>
    <xf numFmtId="0" fontId="17" fillId="7" borderId="0" xfId="3" applyFill="1"/>
    <xf numFmtId="0" fontId="21" fillId="7" borderId="0" xfId="3" applyFont="1" applyFill="1"/>
    <xf numFmtId="0" fontId="27" fillId="0" borderId="0" xfId="3" applyFont="1" applyAlignment="1">
      <alignment vertical="center"/>
    </xf>
    <xf numFmtId="0" fontId="26" fillId="0" borderId="0" xfId="3" applyFont="1" applyAlignment="1">
      <alignment vertical="center"/>
    </xf>
    <xf numFmtId="0" fontId="12" fillId="0" borderId="0" xfId="1" applyAlignment="1">
      <alignment vertical="center"/>
    </xf>
    <xf numFmtId="0" fontId="17" fillId="0" borderId="0" xfId="3" applyAlignment="1">
      <alignment vertical="center"/>
    </xf>
    <xf numFmtId="0" fontId="17" fillId="3" borderId="20" xfId="3" applyFill="1" applyBorder="1" applyAlignment="1">
      <alignment vertical="center"/>
    </xf>
    <xf numFmtId="0" fontId="21" fillId="4" borderId="20" xfId="3" applyFont="1" applyFill="1" applyBorder="1" applyAlignment="1">
      <alignment vertical="center"/>
    </xf>
    <xf numFmtId="0" fontId="22" fillId="4" borderId="20" xfId="3" applyFont="1" applyFill="1" applyBorder="1" applyAlignment="1" applyProtection="1">
      <alignment horizontal="left" vertical="center" wrapText="1"/>
      <protection locked="0"/>
    </xf>
    <xf numFmtId="0" fontId="19" fillId="4" borderId="20" xfId="3" quotePrefix="1" applyFont="1" applyFill="1" applyBorder="1" applyAlignment="1" applyProtection="1">
      <alignment horizontal="center" vertical="center" wrapText="1"/>
      <protection locked="0"/>
    </xf>
    <xf numFmtId="0" fontId="17" fillId="3" borderId="20" xfId="3" applyFill="1" applyBorder="1" applyAlignment="1">
      <alignment vertical="center" wrapText="1"/>
    </xf>
    <xf numFmtId="0" fontId="17" fillId="0" borderId="20" xfId="3" applyBorder="1"/>
    <xf numFmtId="0" fontId="29" fillId="0" borderId="20" xfId="6" applyFill="1" applyBorder="1"/>
    <xf numFmtId="0" fontId="20" fillId="0" borderId="20" xfId="3" applyFont="1" applyBorder="1" applyAlignment="1">
      <alignment horizontal="center"/>
    </xf>
    <xf numFmtId="0" fontId="29" fillId="0" borderId="20" xfId="6" applyBorder="1"/>
    <xf numFmtId="0" fontId="30" fillId="4" borderId="20" xfId="3" applyFont="1" applyFill="1" applyBorder="1" applyAlignment="1" applyProtection="1">
      <alignment horizontal="left" vertical="center" wrapText="1"/>
      <protection locked="0"/>
    </xf>
    <xf numFmtId="0" fontId="19" fillId="4" borderId="20" xfId="3" quotePrefix="1" applyFont="1" applyFill="1" applyBorder="1" applyAlignment="1" applyProtection="1">
      <alignment horizontal="center" vertical="center"/>
      <protection locked="0"/>
    </xf>
    <xf numFmtId="0" fontId="20" fillId="0" borderId="20" xfId="3" applyFont="1" applyBorder="1"/>
    <xf numFmtId="0" fontId="17" fillId="0" borderId="20" xfId="3" applyBorder="1" applyAlignment="1">
      <alignment horizontal="left"/>
    </xf>
    <xf numFmtId="0" fontId="12" fillId="0" borderId="20" xfId="1" applyBorder="1"/>
    <xf numFmtId="165" fontId="12" fillId="0" borderId="20" xfId="1" applyNumberFormat="1" applyBorder="1"/>
    <xf numFmtId="0" fontId="32" fillId="4" borderId="20" xfId="3" applyFont="1" applyFill="1" applyBorder="1" applyAlignment="1" applyProtection="1">
      <alignment horizontal="left" vertical="center" wrapText="1"/>
      <protection locked="0"/>
    </xf>
    <xf numFmtId="0" fontId="31" fillId="6" borderId="0" xfId="3" applyFont="1" applyFill="1"/>
    <xf numFmtId="0" fontId="12" fillId="6" borderId="0" xfId="1" applyFill="1"/>
    <xf numFmtId="0" fontId="21" fillId="0" borderId="0" xfId="3" applyFont="1" applyAlignment="1">
      <alignment horizontal="left"/>
    </xf>
    <xf numFmtId="0" fontId="36" fillId="0" borderId="0" xfId="0" applyFont="1" applyAlignment="1">
      <alignment horizontal="left"/>
    </xf>
    <xf numFmtId="0" fontId="15" fillId="0" borderId="0" xfId="0" applyFont="1" applyAlignment="1" applyProtection="1">
      <alignment horizontal="left" vertical="top" wrapText="1"/>
      <protection locked="0"/>
    </xf>
    <xf numFmtId="0" fontId="15" fillId="0" borderId="17" xfId="0" applyFont="1" applyBorder="1" applyAlignment="1" applyProtection="1">
      <alignment horizontal="center" vertical="center"/>
      <protection locked="0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19" xfId="0" applyFont="1" applyBorder="1" applyAlignment="1" applyProtection="1">
      <alignment horizontal="center" vertical="center"/>
      <protection locked="0"/>
    </xf>
    <xf numFmtId="0" fontId="15" fillId="0" borderId="17" xfId="0" applyFont="1" applyBorder="1" applyAlignment="1" applyProtection="1">
      <alignment horizontal="left" vertical="center"/>
      <protection locked="0"/>
    </xf>
    <xf numFmtId="0" fontId="15" fillId="0" borderId="18" xfId="0" applyFont="1" applyBorder="1" applyAlignment="1" applyProtection="1">
      <alignment horizontal="left" vertical="center"/>
      <protection locked="0"/>
    </xf>
    <xf numFmtId="0" fontId="15" fillId="0" borderId="19" xfId="0" applyFont="1" applyBorder="1" applyAlignment="1" applyProtection="1">
      <alignment horizontal="left" vertical="center"/>
      <protection locked="0"/>
    </xf>
    <xf numFmtId="0" fontId="15" fillId="0" borderId="17" xfId="1" applyFont="1" applyBorder="1" applyAlignment="1" applyProtection="1">
      <alignment horizontal="center" vertical="center"/>
      <protection locked="0"/>
    </xf>
    <xf numFmtId="0" fontId="15" fillId="0" borderId="18" xfId="1" applyFont="1" applyBorder="1" applyAlignment="1" applyProtection="1">
      <alignment horizontal="center" vertical="center"/>
      <protection locked="0"/>
    </xf>
    <xf numFmtId="0" fontId="15" fillId="0" borderId="19" xfId="1" applyFont="1" applyBorder="1" applyAlignment="1" applyProtection="1">
      <alignment horizontal="center" vertical="center"/>
      <protection locked="0"/>
    </xf>
    <xf numFmtId="0" fontId="15" fillId="0" borderId="17" xfId="1" applyFont="1" applyBorder="1" applyAlignment="1" applyProtection="1">
      <alignment horizontal="center"/>
      <protection locked="0"/>
    </xf>
    <xf numFmtId="0" fontId="15" fillId="0" borderId="18" xfId="1" applyFont="1" applyBorder="1" applyAlignment="1" applyProtection="1">
      <alignment horizontal="center"/>
      <protection locked="0"/>
    </xf>
    <xf numFmtId="0" fontId="15" fillId="0" borderId="19" xfId="1" applyFont="1" applyBorder="1" applyAlignment="1" applyProtection="1">
      <alignment horizontal="center"/>
      <protection locked="0"/>
    </xf>
    <xf numFmtId="0" fontId="12" fillId="0" borderId="31" xfId="1" applyBorder="1" applyAlignment="1">
      <alignment horizontal="center" vertical="center"/>
    </xf>
    <xf numFmtId="165" fontId="12" fillId="0" borderId="37" xfId="1" applyNumberFormat="1" applyBorder="1" applyAlignment="1">
      <alignment horizontal="center" vertical="center"/>
    </xf>
    <xf numFmtId="0" fontId="12" fillId="0" borderId="10" xfId="1" applyBorder="1" applyAlignment="1">
      <alignment horizontal="center" vertical="center"/>
    </xf>
    <xf numFmtId="166" fontId="12" fillId="0" borderId="42" xfId="1" applyNumberFormat="1" applyBorder="1" applyAlignment="1">
      <alignment horizontal="center" vertical="center"/>
    </xf>
    <xf numFmtId="166" fontId="12" fillId="0" borderId="41" xfId="1" applyNumberFormat="1" applyBorder="1" applyAlignment="1">
      <alignment horizontal="center" vertical="center"/>
    </xf>
    <xf numFmtId="1" fontId="12" fillId="0" borderId="44" xfId="1" applyNumberFormat="1" applyBorder="1" applyAlignment="1">
      <alignment horizontal="center" vertical="center"/>
    </xf>
    <xf numFmtId="1" fontId="12" fillId="0" borderId="40" xfId="1" applyNumberFormat="1" applyBorder="1" applyAlignment="1">
      <alignment horizontal="center" vertical="center"/>
    </xf>
    <xf numFmtId="0" fontId="12" fillId="0" borderId="54" xfId="1" applyBorder="1" applyAlignment="1" applyProtection="1">
      <alignment horizontal="center" vertical="center"/>
      <protection locked="0"/>
    </xf>
    <xf numFmtId="0" fontId="12" fillId="0" borderId="53" xfId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left" vertical="top" wrapText="1"/>
      <protection locked="0"/>
    </xf>
    <xf numFmtId="0" fontId="12" fillId="0" borderId="55" xfId="1" applyBorder="1" applyAlignment="1" applyProtection="1">
      <alignment horizontal="center" vertical="center"/>
      <protection locked="0"/>
    </xf>
    <xf numFmtId="165" fontId="12" fillId="0" borderId="36" xfId="1" applyNumberFormat="1" applyBorder="1" applyAlignment="1">
      <alignment horizontal="center" vertical="center"/>
    </xf>
    <xf numFmtId="0" fontId="12" fillId="0" borderId="32" xfId="1" applyBorder="1" applyAlignment="1">
      <alignment horizontal="center" vertical="center"/>
    </xf>
    <xf numFmtId="0" fontId="12" fillId="0" borderId="43" xfId="1" applyBorder="1" applyAlignment="1">
      <alignment horizontal="center" vertical="center"/>
    </xf>
    <xf numFmtId="1" fontId="12" fillId="0" borderId="56" xfId="1" applyNumberFormat="1" applyBorder="1" applyAlignment="1">
      <alignment horizontal="center" vertical="center"/>
    </xf>
    <xf numFmtId="1" fontId="12" fillId="0" borderId="57" xfId="1" applyNumberFormat="1" applyBorder="1" applyAlignment="1">
      <alignment horizontal="center" vertical="center"/>
    </xf>
    <xf numFmtId="0" fontId="15" fillId="0" borderId="17" xfId="0" applyFont="1" applyBorder="1" applyAlignment="1" applyProtection="1">
      <alignment horizontal="center"/>
      <protection locked="0"/>
    </xf>
    <xf numFmtId="0" fontId="15" fillId="0" borderId="18" xfId="0" applyFont="1" applyBorder="1" applyAlignment="1" applyProtection="1">
      <alignment horizontal="center"/>
      <protection locked="0"/>
    </xf>
    <xf numFmtId="0" fontId="15" fillId="0" borderId="19" xfId="0" applyFont="1" applyBorder="1" applyAlignment="1" applyProtection="1">
      <alignment horizontal="center"/>
      <protection locked="0"/>
    </xf>
    <xf numFmtId="0" fontId="0" fillId="0" borderId="31" xfId="0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6" fontId="0" fillId="0" borderId="58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" fontId="0" fillId="0" borderId="44" xfId="0" applyNumberFormat="1" applyBorder="1" applyAlignment="1">
      <alignment horizontal="center" vertical="center"/>
    </xf>
    <xf numFmtId="1" fontId="0" fillId="0" borderId="40" xfId="0" applyNumberFormat="1" applyBorder="1" applyAlignment="1">
      <alignment horizontal="center" vertical="center"/>
    </xf>
    <xf numFmtId="0" fontId="12" fillId="0" borderId="54" xfId="0" applyFont="1" applyBorder="1" applyAlignment="1" applyProtection="1">
      <alignment horizontal="center" vertical="center"/>
      <protection locked="0"/>
    </xf>
    <xf numFmtId="0" fontId="0" fillId="0" borderId="54" xfId="0" applyBorder="1" applyAlignment="1" applyProtection="1">
      <alignment horizontal="center" vertical="center"/>
      <protection locked="0"/>
    </xf>
    <xf numFmtId="165" fontId="0" fillId="0" borderId="36" xfId="0" applyNumberFormat="1" applyBorder="1" applyAlignment="1">
      <alignment horizontal="center" vertical="center"/>
    </xf>
    <xf numFmtId="166" fontId="0" fillId="0" borderId="42" xfId="0" applyNumberForma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165" fontId="0" fillId="0" borderId="10" xfId="0" applyNumberFormat="1" applyBorder="1" applyAlignment="1">
      <alignment horizontal="center" vertical="center"/>
    </xf>
    <xf numFmtId="166" fontId="0" fillId="0" borderId="41" xfId="0" applyNumberFormat="1" applyBorder="1" applyAlignment="1">
      <alignment horizontal="center" vertical="center"/>
    </xf>
    <xf numFmtId="1" fontId="0" fillId="0" borderId="60" xfId="0" applyNumberFormat="1" applyBorder="1" applyAlignment="1">
      <alignment horizontal="center" vertical="center"/>
    </xf>
    <xf numFmtId="1" fontId="0" fillId="0" borderId="62" xfId="0" applyNumberFormat="1" applyBorder="1" applyAlignment="1">
      <alignment horizontal="center" vertical="center"/>
    </xf>
    <xf numFmtId="14" fontId="15" fillId="0" borderId="17" xfId="1" quotePrefix="1" applyNumberFormat="1" applyFont="1" applyBorder="1" applyAlignment="1" applyProtection="1">
      <alignment horizontal="center" vertical="center"/>
      <protection locked="0"/>
    </xf>
    <xf numFmtId="0" fontId="15" fillId="5" borderId="17" xfId="0" applyFont="1" applyFill="1" applyBorder="1" applyAlignment="1" applyProtection="1">
      <alignment horizontal="center" vertical="center"/>
      <protection locked="0"/>
    </xf>
    <xf numFmtId="0" fontId="15" fillId="5" borderId="18" xfId="0" applyFont="1" applyFill="1" applyBorder="1" applyAlignment="1" applyProtection="1">
      <alignment horizontal="center" vertical="center"/>
      <protection locked="0"/>
    </xf>
    <xf numFmtId="0" fontId="15" fillId="5" borderId="19" xfId="0" applyFont="1" applyFill="1" applyBorder="1" applyAlignment="1" applyProtection="1">
      <alignment horizontal="center" vertical="center"/>
      <protection locked="0"/>
    </xf>
    <xf numFmtId="0" fontId="12" fillId="0" borderId="59" xfId="1" applyBorder="1" applyAlignment="1" applyProtection="1">
      <alignment horizontal="center" vertical="center"/>
      <protection locked="0"/>
    </xf>
    <xf numFmtId="0" fontId="12" fillId="0" borderId="61" xfId="1" applyBorder="1" applyAlignment="1" applyProtection="1">
      <alignment horizontal="center" vertical="center"/>
      <protection locked="0"/>
    </xf>
    <xf numFmtId="0" fontId="12" fillId="0" borderId="17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 vertical="center"/>
      <protection locked="0"/>
    </xf>
  </cellXfs>
  <cellStyles count="7">
    <cellStyle name="Hyperlink" xfId="6" builtinId="8"/>
    <cellStyle name="Normal" xfId="0" builtinId="0"/>
    <cellStyle name="Standard 2" xfId="1" xr:uid="{00000000-0005-0000-0000-000002000000}"/>
    <cellStyle name="Standard 3" xfId="2" xr:uid="{00000000-0005-0000-0000-000003000000}"/>
    <cellStyle name="Standard 3 2" xfId="5" xr:uid="{00000000-0005-0000-0000-000004000000}"/>
    <cellStyle name="Standard 4" xfId="3" xr:uid="{00000000-0005-0000-0000-000005000000}"/>
    <cellStyle name="Standard 5" xfId="4" xr:uid="{00000000-0005-0000-0000-000006000000}"/>
  </cellStyles>
  <dxfs count="2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Matrix uncertainty in various feeding</a:t>
            </a:r>
            <a:r>
              <a:rPr lang="de-DE" baseline="0"/>
              <a:t> stuffs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>
        <c:manualLayout>
          <c:layoutTarget val="inner"/>
          <c:xMode val="edge"/>
          <c:yMode val="edge"/>
          <c:x val="9.2284579098103336E-2"/>
          <c:y val="0.12753749124913144"/>
          <c:w val="0.8707881489721796"/>
          <c:h val="0.43954477463464431"/>
        </c:manualLayout>
      </c:layout>
      <c:lineChart>
        <c:grouping val="standard"/>
        <c:varyColors val="0"/>
        <c:ser>
          <c:idx val="0"/>
          <c:order val="0"/>
          <c:tx>
            <c:strRef>
              <c:f>statistics!$C$8</c:f>
              <c:strCache>
                <c:ptCount val="1"/>
                <c:pt idx="0">
                  <c:v>bacteria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solidFill>
                <a:schemeClr val="tx1"/>
              </a:solidFill>
              <a:ln w="9525">
                <a:solidFill>
                  <a:schemeClr val="accent1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/>
                <a:lightRig rig="threePt" dir="t"/>
              </a:scene3d>
              <a:sp3d>
                <a:bevelT w="63500" h="25400"/>
              </a:sp3d>
            </c:spPr>
          </c:marker>
          <c:dPt>
            <c:idx val="6"/>
            <c:marker>
              <c:symbol val="circle"/>
              <c:size val="6"/>
              <c:spPr>
                <a:solidFill>
                  <a:schemeClr val="tx1"/>
                </a:solidFill>
                <a:ln w="9525">
                  <a:solidFill>
                    <a:schemeClr val="accent1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/>
                  <a:lightRig rig="threePt" dir="t"/>
                </a:scene3d>
                <a:sp3d>
                  <a:bevelT w="63500" h="25400"/>
                </a:sp3d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A517-4D34-9C48-3B9F85936BA2}"/>
              </c:ext>
            </c:extLst>
          </c:dPt>
          <c:dLbls>
            <c:dLbl>
              <c:idx val="0"/>
              <c:layout>
                <c:manualLayout>
                  <c:x val="-2.3899781548131705E-2"/>
                  <c:y val="5.0745068768204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86FB-4EF5-A786-E9F6642BB938}"/>
                </c:ext>
              </c:extLst>
            </c:dLbl>
            <c:dLbl>
              <c:idx val="1"/>
              <c:layout>
                <c:manualLayout>
                  <c:x val="-2.3899781548131705E-2"/>
                  <c:y val="4.60919303707811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A701-4072-B382-247920C68864}"/>
                </c:ext>
              </c:extLst>
            </c:dLbl>
            <c:dLbl>
              <c:idx val="8"/>
              <c:layout>
                <c:manualLayout>
                  <c:x val="-2.573923984037757E-2"/>
                  <c:y val="5.0745068768204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A701-4072-B382-247920C68864}"/>
                </c:ext>
              </c:extLst>
            </c:dLbl>
            <c:dLbl>
              <c:idx val="9"/>
              <c:layout>
                <c:manualLayout>
                  <c:x val="-2.4004688478672803E-2"/>
                  <c:y val="-6.55833911673873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A701-4072-B382-247920C68864}"/>
                </c:ext>
              </c:extLst>
            </c:dLbl>
            <c:dLbl>
              <c:idx val="10"/>
              <c:layout>
                <c:manualLayout>
                  <c:x val="-2.3899781548131622E-2"/>
                  <c:y val="-6.55833911673873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A701-4072-B382-247920C68864}"/>
                </c:ext>
              </c:extLst>
            </c:dLbl>
            <c:dLbl>
              <c:idx val="11"/>
              <c:layout>
                <c:manualLayout>
                  <c:x val="-2.2536240611606664E-2"/>
                  <c:y val="5.07450687682049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E2F-4FDB-84A4-996ACEA62710}"/>
                </c:ext>
              </c:extLst>
            </c:dLbl>
            <c:dLbl>
              <c:idx val="13"/>
              <c:layout>
                <c:manualLayout>
                  <c:x val="-2.3899781548131823E-2"/>
                  <c:y val="5.345038178996280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701-4072-B382-247920C68864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/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statistics!$B$9:$B$31</c:f>
              <c:strCache>
                <c:ptCount val="23"/>
                <c:pt idx="0">
                  <c:v>grain meal #2</c:v>
                </c:pt>
                <c:pt idx="1">
                  <c:v>oats</c:v>
                </c:pt>
                <c:pt idx="2">
                  <c:v>liquid feed</c:v>
                </c:pt>
                <c:pt idx="3">
                  <c:v>pelleted compound feed for chickens</c:v>
                </c:pt>
                <c:pt idx="4">
                  <c:v>rye</c:v>
                </c:pt>
                <c:pt idx="5">
                  <c:v>complete feed for fattening pigs, floury</c:v>
                </c:pt>
                <c:pt idx="6">
                  <c:v>grain flour</c:v>
                </c:pt>
                <c:pt idx="7">
                  <c:v>barley</c:v>
                </c:pt>
                <c:pt idx="8">
                  <c:v>hay #1</c:v>
                </c:pt>
                <c:pt idx="9">
                  <c:v>wheat</c:v>
                </c:pt>
                <c:pt idx="10">
                  <c:v>grass silage</c:v>
                </c:pt>
                <c:pt idx="11">
                  <c:v>hay #2</c:v>
                </c:pt>
                <c:pt idx="12">
                  <c:v>straw</c:v>
                </c:pt>
                <c:pt idx="13">
                  <c:v>grain meal #1</c:v>
                </c:pt>
                <c:pt idx="14">
                  <c:v>sunflower kernels</c:v>
                </c:pt>
                <c:pt idx="15">
                  <c:v>brewers grain</c:v>
                </c:pt>
                <c:pt idx="16">
                  <c:v>rape extraction meal</c:v>
                </c:pt>
                <c:pt idx="17">
                  <c:v>BARF #2: liver</c:v>
                </c:pt>
                <c:pt idx="18">
                  <c:v>malt sprouts, pressed</c:v>
                </c:pt>
                <c:pt idx="19">
                  <c:v>maize silage</c:v>
                </c:pt>
                <c:pt idx="20">
                  <c:v>chew toy #2: dried beef lung</c:v>
                </c:pt>
                <c:pt idx="21">
                  <c:v>BARF #1: coarsely chopped meat</c:v>
                </c:pt>
                <c:pt idx="22">
                  <c:v>chew toy #1: dried chicken necks</c:v>
                </c:pt>
              </c:strCache>
            </c:strRef>
          </c:cat>
          <c:val>
            <c:numRef>
              <c:f>statistics!$C$9:$C$31</c:f>
              <c:numCache>
                <c:formatCode>General</c:formatCode>
                <c:ptCount val="23"/>
                <c:pt idx="0">
                  <c:v>4.3999999999999997E-2</c:v>
                </c:pt>
                <c:pt idx="1">
                  <c:v>0.03</c:v>
                </c:pt>
                <c:pt idx="2">
                  <c:v>5.1999999999999998E-2</c:v>
                </c:pt>
                <c:pt idx="3">
                  <c:v>7.4999999999999997E-2</c:v>
                </c:pt>
                <c:pt idx="4">
                  <c:v>8.5000000000000006E-2</c:v>
                </c:pt>
                <c:pt idx="5">
                  <c:v>0.09</c:v>
                </c:pt>
                <c:pt idx="6">
                  <c:v>9.0999999999999998E-2</c:v>
                </c:pt>
                <c:pt idx="7">
                  <c:v>8.7999999999999995E-2</c:v>
                </c:pt>
                <c:pt idx="8">
                  <c:v>7.5999999999999998E-2</c:v>
                </c:pt>
                <c:pt idx="9">
                  <c:v>9.4E-2</c:v>
                </c:pt>
                <c:pt idx="10">
                  <c:v>0.109</c:v>
                </c:pt>
                <c:pt idx="11">
                  <c:v>9.6000000000000002E-2</c:v>
                </c:pt>
                <c:pt idx="12">
                  <c:v>0.12</c:v>
                </c:pt>
                <c:pt idx="13">
                  <c:v>0.10100000000000001</c:v>
                </c:pt>
                <c:pt idx="14">
                  <c:v>0.13200000000000001</c:v>
                </c:pt>
                <c:pt idx="15">
                  <c:v>0.19</c:v>
                </c:pt>
                <c:pt idx="16">
                  <c:v>0.20100000000000001</c:v>
                </c:pt>
                <c:pt idx="18">
                  <c:v>0.219</c:v>
                </c:pt>
                <c:pt idx="19">
                  <c:v>0.23499999999999999</c:v>
                </c:pt>
                <c:pt idx="20">
                  <c:v>0.27700000000000002</c:v>
                </c:pt>
                <c:pt idx="22">
                  <c:v>0.68600000000000005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F-A517-4D34-9C48-3B9F85936BA2}"/>
            </c:ext>
          </c:extLst>
        </c:ser>
        <c:ser>
          <c:idx val="1"/>
          <c:order val="1"/>
          <c:tx>
            <c:strRef>
              <c:f>statistics!$D$8</c:f>
              <c:strCache>
                <c:ptCount val="1"/>
                <c:pt idx="0">
                  <c:v>moulds and Dematiaceae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13"/>
            <c:spPr>
              <a:solidFill>
                <a:srgbClr val="FFC000"/>
              </a:solidFill>
              <a:ln w="9525">
                <a:solidFill>
                  <a:srgbClr val="FFC000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Pt>
            <c:idx val="0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A517-4D34-9C48-3B9F85936BA2}"/>
              </c:ext>
            </c:extLst>
          </c:dPt>
          <c:dPt>
            <c:idx val="1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A517-4D34-9C48-3B9F85936BA2}"/>
              </c:ext>
            </c:extLst>
          </c:dPt>
          <c:dPt>
            <c:idx val="2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A517-4D34-9C48-3B9F85936BA2}"/>
              </c:ext>
            </c:extLst>
          </c:dPt>
          <c:dPt>
            <c:idx val="3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A517-4D34-9C48-3B9F85936BA2}"/>
              </c:ext>
            </c:extLst>
          </c:dPt>
          <c:dPt>
            <c:idx val="4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A517-4D34-9C48-3B9F85936BA2}"/>
              </c:ext>
            </c:extLst>
          </c:dPt>
          <c:dPt>
            <c:idx val="5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A517-4D34-9C48-3B9F85936BA2}"/>
              </c:ext>
            </c:extLst>
          </c:dPt>
          <c:dPt>
            <c:idx val="6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A517-4D34-9C48-3B9F85936BA2}"/>
              </c:ext>
            </c:extLst>
          </c:dPt>
          <c:dPt>
            <c:idx val="7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A517-4D34-9C48-3B9F85936BA2}"/>
              </c:ext>
            </c:extLst>
          </c:dPt>
          <c:dPt>
            <c:idx val="8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A517-4D34-9C48-3B9F85936BA2}"/>
              </c:ext>
            </c:extLst>
          </c:dPt>
          <c:dPt>
            <c:idx val="9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A517-4D34-9C48-3B9F85936BA2}"/>
              </c:ext>
            </c:extLst>
          </c:dPt>
          <c:dPt>
            <c:idx val="10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5-A517-4D34-9C48-3B9F85936BA2}"/>
              </c:ext>
            </c:extLst>
          </c:dPt>
          <c:dPt>
            <c:idx val="11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7-A517-4D34-9C48-3B9F85936BA2}"/>
              </c:ext>
            </c:extLst>
          </c:dPt>
          <c:dPt>
            <c:idx val="12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9-A517-4D34-9C48-3B9F85936BA2}"/>
              </c:ext>
            </c:extLst>
          </c:dPt>
          <c:dPt>
            <c:idx val="13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B-A517-4D34-9C48-3B9F85936BA2}"/>
              </c:ext>
            </c:extLst>
          </c:dPt>
          <c:dPt>
            <c:idx val="14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D-A517-4D34-9C48-3B9F85936BA2}"/>
              </c:ext>
            </c:extLst>
          </c:dPt>
          <c:dPt>
            <c:idx val="15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F-A517-4D34-9C48-3B9F85936BA2}"/>
              </c:ext>
            </c:extLst>
          </c:dPt>
          <c:dPt>
            <c:idx val="16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1-A517-4D34-9C48-3B9F85936BA2}"/>
              </c:ext>
            </c:extLst>
          </c:dPt>
          <c:dPt>
            <c:idx val="17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3-A517-4D34-9C48-3B9F85936BA2}"/>
              </c:ext>
            </c:extLst>
          </c:dPt>
          <c:dPt>
            <c:idx val="18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5-A517-4D34-9C48-3B9F85936BA2}"/>
              </c:ext>
            </c:extLst>
          </c:dPt>
          <c:dPt>
            <c:idx val="19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7-A517-4D34-9C48-3B9F85936BA2}"/>
              </c:ext>
            </c:extLst>
          </c:dPt>
          <c:dPt>
            <c:idx val="20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9-A517-4D34-9C48-3B9F85936BA2}"/>
              </c:ext>
            </c:extLst>
          </c:dPt>
          <c:dPt>
            <c:idx val="21"/>
            <c:marker>
              <c:symbol val="circle"/>
              <c:size val="13"/>
              <c:spPr>
                <a:solidFill>
                  <a:srgbClr val="FFC000"/>
                </a:solidFill>
                <a:ln w="9525">
                  <a:solidFill>
                    <a:srgbClr val="FFC000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spPr>
              <a:ln w="34925" cap="rnd">
                <a:noFill/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B-A517-4D34-9C48-3B9F85936BA2}"/>
              </c:ext>
            </c:extLst>
          </c:dPt>
          <c:dLbls>
            <c:dLbl>
              <c:idx val="0"/>
              <c:layout>
                <c:manualLayout>
                  <c:x val="-3.1257794351653337E-2"/>
                  <c:y val="-5.96182824627977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517-4D34-9C48-3B9F85936BA2}"/>
                </c:ext>
              </c:extLst>
            </c:dLbl>
            <c:dLbl>
              <c:idx val="8"/>
              <c:layout>
                <c:manualLayout>
                  <c:x val="-3.0443015344087186E-2"/>
                  <c:y val="-6.83293903928583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517-4D34-9C48-3B9F85936BA2}"/>
                </c:ext>
              </c:extLst>
            </c:dLbl>
            <c:dLbl>
              <c:idx val="9"/>
              <c:layout>
                <c:manualLayout>
                  <c:x val="-3.0337986210453315E-2"/>
                  <c:y val="5.882032162976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517-4D34-9C48-3B9F85936BA2}"/>
                </c:ext>
              </c:extLst>
            </c:dLbl>
            <c:dLbl>
              <c:idx val="10"/>
              <c:layout>
                <c:manualLayout>
                  <c:x val="-3.0338042751213063E-2"/>
                  <c:y val="5.88203216297657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517-4D34-9C48-3B9F85936BA2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y"/>
            <c:errBarType val="both"/>
            <c:errValType val="cust"/>
            <c:noEndCap val="0"/>
            <c:plus>
              <c:numRef>
                <c:f>statistics!$I$9:$I$33</c:f>
                <c:numCache>
                  <c:formatCode>General</c:formatCode>
                  <c:ptCount val="25"/>
                </c:numCache>
              </c:numRef>
            </c:plus>
            <c:minus>
              <c:numRef>
                <c:f>statistics!$I$9:$I$33</c:f>
                <c:numCache>
                  <c:formatCode>General</c:formatCode>
                  <c:ptCount val="25"/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statistics!$B$9:$B$31</c:f>
              <c:strCache>
                <c:ptCount val="23"/>
                <c:pt idx="0">
                  <c:v>grain meal #2</c:v>
                </c:pt>
                <c:pt idx="1">
                  <c:v>oats</c:v>
                </c:pt>
                <c:pt idx="2">
                  <c:v>liquid feed</c:v>
                </c:pt>
                <c:pt idx="3">
                  <c:v>pelleted compound feed for chickens</c:v>
                </c:pt>
                <c:pt idx="4">
                  <c:v>rye</c:v>
                </c:pt>
                <c:pt idx="5">
                  <c:v>complete feed for fattening pigs, floury</c:v>
                </c:pt>
                <c:pt idx="6">
                  <c:v>grain flour</c:v>
                </c:pt>
                <c:pt idx="7">
                  <c:v>barley</c:v>
                </c:pt>
                <c:pt idx="8">
                  <c:v>hay #1</c:v>
                </c:pt>
                <c:pt idx="9">
                  <c:v>wheat</c:v>
                </c:pt>
                <c:pt idx="10">
                  <c:v>grass silage</c:v>
                </c:pt>
                <c:pt idx="11">
                  <c:v>hay #2</c:v>
                </c:pt>
                <c:pt idx="12">
                  <c:v>straw</c:v>
                </c:pt>
                <c:pt idx="13">
                  <c:v>grain meal #1</c:v>
                </c:pt>
                <c:pt idx="14">
                  <c:v>sunflower kernels</c:v>
                </c:pt>
                <c:pt idx="15">
                  <c:v>brewers grain</c:v>
                </c:pt>
                <c:pt idx="16">
                  <c:v>rape extraction meal</c:v>
                </c:pt>
                <c:pt idx="17">
                  <c:v>BARF #2: liver</c:v>
                </c:pt>
                <c:pt idx="18">
                  <c:v>malt sprouts, pressed</c:v>
                </c:pt>
                <c:pt idx="19">
                  <c:v>maize silage</c:v>
                </c:pt>
                <c:pt idx="20">
                  <c:v>chew toy #2: dried beef lung</c:v>
                </c:pt>
                <c:pt idx="21">
                  <c:v>BARF #1: coarsely chopped meat</c:v>
                </c:pt>
                <c:pt idx="22">
                  <c:v>chew toy #1: dried chicken necks</c:v>
                </c:pt>
              </c:strCache>
            </c:strRef>
          </c:cat>
          <c:val>
            <c:numRef>
              <c:f>statistics!$D$9:$D$31</c:f>
              <c:numCache>
                <c:formatCode>General</c:formatCode>
                <c:ptCount val="23"/>
                <c:pt idx="0">
                  <c:v>0.05</c:v>
                </c:pt>
                <c:pt idx="7">
                  <c:v>6.6000000000000003E-2</c:v>
                </c:pt>
                <c:pt idx="8">
                  <c:v>9.6000000000000002E-2</c:v>
                </c:pt>
                <c:pt idx="9">
                  <c:v>8.5999999999999993E-2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C-A517-4D34-9C48-3B9F85936BA2}"/>
            </c:ext>
          </c:extLst>
        </c:ser>
        <c:ser>
          <c:idx val="2"/>
          <c:order val="2"/>
          <c:tx>
            <c:strRef>
              <c:f>statistics!$E$8</c:f>
              <c:strCache>
                <c:ptCount val="1"/>
                <c:pt idx="0">
                  <c:v>yeasts</c:v>
                </c:pt>
              </c:strCache>
            </c:strRef>
          </c:tx>
          <c:spPr>
            <a:ln w="34925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00B050"/>
              </a:solidFill>
              <a:ln w="9525">
                <a:solidFill>
                  <a:schemeClr val="accent3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Pt>
            <c:idx val="7"/>
            <c:marker>
              <c:symbol val="circle"/>
              <c:size val="6"/>
              <c:spPr>
                <a:solidFill>
                  <a:srgbClr val="00B050"/>
                </a:solidFill>
                <a:ln w="9525">
                  <a:solidFill>
                    <a:schemeClr val="accent3"/>
                  </a:solidFill>
                  <a:round/>
                </a:ln>
                <a:effectLst>
                  <a:outerShdw blurRad="40000" dist="23000" dir="5400000" rotWithShape="0">
                    <a:srgbClr val="000000">
                      <a:alpha val="35000"/>
                    </a:srgbClr>
                  </a:outerShdw>
                </a:effectLst>
                <a:scene3d>
                  <a:camera prst="orthographicFront">
                    <a:rot lat="0" lon="0" rev="0"/>
                  </a:camera>
                  <a:lightRig rig="threePt" dir="t">
                    <a:rot lat="0" lon="0" rev="1200000"/>
                  </a:lightRig>
                </a:scene3d>
                <a:sp3d>
                  <a:bevelT w="63500" h="25400"/>
                </a:sp3d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AE2F-4FDB-84A4-996ACEA62710}"/>
              </c:ext>
            </c:extLst>
          </c:dPt>
          <c:dLbls>
            <c:dLbl>
              <c:idx val="7"/>
              <c:layout>
                <c:manualLayout>
                  <c:x val="-2.2532007453635313E-2"/>
                  <c:y val="-0.14272549849120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E2F-4FDB-84A4-996ACEA62710}"/>
                </c:ext>
              </c:extLst>
            </c:dLbl>
            <c:dLbl>
              <c:idx val="8"/>
              <c:layout>
                <c:manualLayout>
                  <c:x val="-2.5739284749012166E-2"/>
                  <c:y val="-0.1400201854694442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A701-4072-B382-247920C68864}"/>
                </c:ext>
              </c:extLst>
            </c:dLbl>
            <c:dLbl>
              <c:idx val="9"/>
              <c:layout>
                <c:manualLayout>
                  <c:x val="-2.3899781548131688E-2"/>
                  <c:y val="-0.145430811512960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A701-4072-B382-247920C68864}"/>
                </c:ext>
              </c:extLst>
            </c:dLbl>
            <c:dLbl>
              <c:idx val="10"/>
              <c:layout>
                <c:manualLayout>
                  <c:x val="-2.3899781548131622E-2"/>
                  <c:y val="-0.13731487244768628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701-4072-B382-247920C68864}"/>
                </c:ext>
              </c:extLst>
            </c:dLbl>
            <c:dLbl>
              <c:idx val="13"/>
              <c:layout>
                <c:manualLayout>
                  <c:x val="-2.3899781548131823E-2"/>
                  <c:y val="-5.61554817949475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701-4072-B382-247920C68864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statistics!$B$9:$B$31</c:f>
              <c:strCache>
                <c:ptCount val="23"/>
                <c:pt idx="0">
                  <c:v>grain meal #2</c:v>
                </c:pt>
                <c:pt idx="1">
                  <c:v>oats</c:v>
                </c:pt>
                <c:pt idx="2">
                  <c:v>liquid feed</c:v>
                </c:pt>
                <c:pt idx="3">
                  <c:v>pelleted compound feed for chickens</c:v>
                </c:pt>
                <c:pt idx="4">
                  <c:v>rye</c:v>
                </c:pt>
                <c:pt idx="5">
                  <c:v>complete feed for fattening pigs, floury</c:v>
                </c:pt>
                <c:pt idx="6">
                  <c:v>grain flour</c:v>
                </c:pt>
                <c:pt idx="7">
                  <c:v>barley</c:v>
                </c:pt>
                <c:pt idx="8">
                  <c:v>hay #1</c:v>
                </c:pt>
                <c:pt idx="9">
                  <c:v>wheat</c:v>
                </c:pt>
                <c:pt idx="10">
                  <c:v>grass silage</c:v>
                </c:pt>
                <c:pt idx="11">
                  <c:v>hay #2</c:v>
                </c:pt>
                <c:pt idx="12">
                  <c:v>straw</c:v>
                </c:pt>
                <c:pt idx="13">
                  <c:v>grain meal #1</c:v>
                </c:pt>
                <c:pt idx="14">
                  <c:v>sunflower kernels</c:v>
                </c:pt>
                <c:pt idx="15">
                  <c:v>brewers grain</c:v>
                </c:pt>
                <c:pt idx="16">
                  <c:v>rape extraction meal</c:v>
                </c:pt>
                <c:pt idx="17">
                  <c:v>BARF #2: liver</c:v>
                </c:pt>
                <c:pt idx="18">
                  <c:v>malt sprouts, pressed</c:v>
                </c:pt>
                <c:pt idx="19">
                  <c:v>maize silage</c:v>
                </c:pt>
                <c:pt idx="20">
                  <c:v>chew toy #2: dried beef lung</c:v>
                </c:pt>
                <c:pt idx="21">
                  <c:v>BARF #1: coarsely chopped meat</c:v>
                </c:pt>
                <c:pt idx="22">
                  <c:v>chew toy #1: dried chicken necks</c:v>
                </c:pt>
              </c:strCache>
            </c:strRef>
          </c:cat>
          <c:val>
            <c:numRef>
              <c:f>statistics!$E$9:$E$31</c:f>
              <c:numCache>
                <c:formatCode>General</c:formatCode>
                <c:ptCount val="23"/>
                <c:pt idx="7">
                  <c:v>9.7000000000000003E-2</c:v>
                </c:pt>
                <c:pt idx="8">
                  <c:v>0.107</c:v>
                </c:pt>
                <c:pt idx="9">
                  <c:v>0.107</c:v>
                </c:pt>
                <c:pt idx="13">
                  <c:v>0.129</c:v>
                </c:pt>
                <c:pt idx="15">
                  <c:v>8.5999999999999993E-2</c:v>
                </c:pt>
                <c:pt idx="19">
                  <c:v>0.10299999999999999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D-A517-4D34-9C48-3B9F85936BA2}"/>
            </c:ext>
          </c:extLst>
        </c:ser>
        <c:ser>
          <c:idx val="3"/>
          <c:order val="3"/>
          <c:tx>
            <c:strRef>
              <c:f>statistics!$F$8</c:f>
              <c:strCache>
                <c:ptCount val="1"/>
                <c:pt idx="0">
                  <c:v>fungi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12"/>
            <c:spPr>
              <a:solidFill>
                <a:srgbClr val="0070C0">
                  <a:alpha val="20000"/>
                </a:srgbClr>
              </a:solidFill>
              <a:ln w="9525">
                <a:solidFill>
                  <a:schemeClr val="accent1">
                    <a:lumMod val="75000"/>
                  </a:schemeClr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dLbl>
              <c:idx val="1"/>
              <c:layout>
                <c:manualLayout>
                  <c:x val="-3.1257794351653337E-2"/>
                  <c:y val="-5.886079481670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A701-4072-B382-247920C68864}"/>
                </c:ext>
              </c:extLst>
            </c:dLbl>
            <c:dLbl>
              <c:idx val="11"/>
              <c:layout>
                <c:manualLayout>
                  <c:x val="-2.9468924387332316E-2"/>
                  <c:y val="-5.8860794816705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CD20-49E3-BC6D-4F481ECFB7BE}"/>
                </c:ext>
              </c:extLst>
            </c:dLbl>
            <c:dLbl>
              <c:idx val="14"/>
              <c:layout>
                <c:manualLayout>
                  <c:x val="-2.9418264252207591E-2"/>
                  <c:y val="5.4762352097128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86FB-4EF5-A786-E9F6642BB938}"/>
                </c:ext>
              </c:extLst>
            </c:dLbl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statistics!$B$9:$B$31</c:f>
              <c:strCache>
                <c:ptCount val="23"/>
                <c:pt idx="0">
                  <c:v>grain meal #2</c:v>
                </c:pt>
                <c:pt idx="1">
                  <c:v>oats</c:v>
                </c:pt>
                <c:pt idx="2">
                  <c:v>liquid feed</c:v>
                </c:pt>
                <c:pt idx="3">
                  <c:v>pelleted compound feed for chickens</c:v>
                </c:pt>
                <c:pt idx="4">
                  <c:v>rye</c:v>
                </c:pt>
                <c:pt idx="5">
                  <c:v>complete feed for fattening pigs, floury</c:v>
                </c:pt>
                <c:pt idx="6">
                  <c:v>grain flour</c:v>
                </c:pt>
                <c:pt idx="7">
                  <c:v>barley</c:v>
                </c:pt>
                <c:pt idx="8">
                  <c:v>hay #1</c:v>
                </c:pt>
                <c:pt idx="9">
                  <c:v>wheat</c:v>
                </c:pt>
                <c:pt idx="10">
                  <c:v>grass silage</c:v>
                </c:pt>
                <c:pt idx="11">
                  <c:v>hay #2</c:v>
                </c:pt>
                <c:pt idx="12">
                  <c:v>straw</c:v>
                </c:pt>
                <c:pt idx="13">
                  <c:v>grain meal #1</c:v>
                </c:pt>
                <c:pt idx="14">
                  <c:v>sunflower kernels</c:v>
                </c:pt>
                <c:pt idx="15">
                  <c:v>brewers grain</c:v>
                </c:pt>
                <c:pt idx="16">
                  <c:v>rape extraction meal</c:v>
                </c:pt>
                <c:pt idx="17">
                  <c:v>BARF #2: liver</c:v>
                </c:pt>
                <c:pt idx="18">
                  <c:v>malt sprouts, pressed</c:v>
                </c:pt>
                <c:pt idx="19">
                  <c:v>maize silage</c:v>
                </c:pt>
                <c:pt idx="20">
                  <c:v>chew toy #2: dried beef lung</c:v>
                </c:pt>
                <c:pt idx="21">
                  <c:v>BARF #1: coarsely chopped meat</c:v>
                </c:pt>
                <c:pt idx="22">
                  <c:v>chew toy #1: dried chicken necks</c:v>
                </c:pt>
              </c:strCache>
            </c:strRef>
          </c:cat>
          <c:val>
            <c:numRef>
              <c:f>statistics!$F$9:$F$31</c:f>
              <c:numCache>
                <c:formatCode>General</c:formatCode>
                <c:ptCount val="23"/>
                <c:pt idx="1">
                  <c:v>5.0999999999999997E-2</c:v>
                </c:pt>
                <c:pt idx="6">
                  <c:v>0.08</c:v>
                </c:pt>
                <c:pt idx="11">
                  <c:v>0.114</c:v>
                </c:pt>
                <c:pt idx="14">
                  <c:v>6.2E-2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0-A517-4D34-9C48-3B9F85936BA2}"/>
            </c:ext>
          </c:extLst>
        </c:ser>
        <c:ser>
          <c:idx val="4"/>
          <c:order val="4"/>
          <c:tx>
            <c:strRef>
              <c:f>statistics!$G$8</c:f>
              <c:strCache>
                <c:ptCount val="1"/>
                <c:pt idx="0">
                  <c:v>Enterobacteriaceae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circle"/>
            <c:size val="6"/>
            <c:spPr>
              <a:solidFill>
                <a:srgbClr val="FF0000"/>
              </a:solidFill>
              <a:ln w="9525">
                <a:solidFill>
                  <a:srgbClr val="FF0000"/>
                </a:solidFill>
                <a:round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</c:marker>
          <c:dLbls>
            <c:spPr>
              <a:solidFill>
                <a:schemeClr val="bg1"/>
              </a:solidFill>
              <a:ln>
                <a:noFill/>
              </a:ln>
              <a:effectLst/>
            </c:spPr>
            <c:txPr>
              <a:bodyPr rot="-5400000" spcFirstLastPara="1" vertOverflow="ellipsis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statistics!$B$9:$B$31</c:f>
              <c:strCache>
                <c:ptCount val="23"/>
                <c:pt idx="0">
                  <c:v>grain meal #2</c:v>
                </c:pt>
                <c:pt idx="1">
                  <c:v>oats</c:v>
                </c:pt>
                <c:pt idx="2">
                  <c:v>liquid feed</c:v>
                </c:pt>
                <c:pt idx="3">
                  <c:v>pelleted compound feed for chickens</c:v>
                </c:pt>
                <c:pt idx="4">
                  <c:v>rye</c:v>
                </c:pt>
                <c:pt idx="5">
                  <c:v>complete feed for fattening pigs, floury</c:v>
                </c:pt>
                <c:pt idx="6">
                  <c:v>grain flour</c:v>
                </c:pt>
                <c:pt idx="7">
                  <c:v>barley</c:v>
                </c:pt>
                <c:pt idx="8">
                  <c:v>hay #1</c:v>
                </c:pt>
                <c:pt idx="9">
                  <c:v>wheat</c:v>
                </c:pt>
                <c:pt idx="10">
                  <c:v>grass silage</c:v>
                </c:pt>
                <c:pt idx="11">
                  <c:v>hay #2</c:v>
                </c:pt>
                <c:pt idx="12">
                  <c:v>straw</c:v>
                </c:pt>
                <c:pt idx="13">
                  <c:v>grain meal #1</c:v>
                </c:pt>
                <c:pt idx="14">
                  <c:v>sunflower kernels</c:v>
                </c:pt>
                <c:pt idx="15">
                  <c:v>brewers grain</c:v>
                </c:pt>
                <c:pt idx="16">
                  <c:v>rape extraction meal</c:v>
                </c:pt>
                <c:pt idx="17">
                  <c:v>BARF #2: liver</c:v>
                </c:pt>
                <c:pt idx="18">
                  <c:v>malt sprouts, pressed</c:v>
                </c:pt>
                <c:pt idx="19">
                  <c:v>maize silage</c:v>
                </c:pt>
                <c:pt idx="20">
                  <c:v>chew toy #2: dried beef lung</c:v>
                </c:pt>
                <c:pt idx="21">
                  <c:v>BARF #1: coarsely chopped meat</c:v>
                </c:pt>
                <c:pt idx="22">
                  <c:v>chew toy #1: dried chicken necks</c:v>
                </c:pt>
              </c:strCache>
            </c:strRef>
          </c:cat>
          <c:val>
            <c:numRef>
              <c:f>statistics!$G$9:$G$31</c:f>
              <c:numCache>
                <c:formatCode>General</c:formatCode>
                <c:ptCount val="23"/>
                <c:pt idx="17">
                  <c:v>0.20200000000000001</c:v>
                </c:pt>
                <c:pt idx="21">
                  <c:v>0.40200000000000002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A517-4D34-9C48-3B9F85936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749440"/>
        <c:axId val="436757640"/>
      </c:lineChart>
      <c:catAx>
        <c:axId val="43674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dk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36757640"/>
        <c:crosses val="autoZero"/>
        <c:auto val="1"/>
        <c:lblAlgn val="ctr"/>
        <c:lblOffset val="100"/>
        <c:tickMarkSkip val="1"/>
        <c:noMultiLvlLbl val="0"/>
      </c:catAx>
      <c:valAx>
        <c:axId val="436757640"/>
        <c:scaling>
          <c:orientation val="minMax"/>
          <c:min val="-0.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>
                    <a:solidFill>
                      <a:sysClr val="windowText" lastClr="000000"/>
                    </a:solidFill>
                  </a:rPr>
                  <a:t>u</a:t>
                </a:r>
                <a:r>
                  <a:rPr lang="en-US" baseline="-25000">
                    <a:solidFill>
                      <a:sysClr val="windowText" lastClr="000000"/>
                    </a:solidFill>
                  </a:rPr>
                  <a:t>matrix</a:t>
                </a:r>
                <a:r>
                  <a:rPr lang="en-US">
                    <a:solidFill>
                      <a:sysClr val="windowText" lastClr="000000"/>
                    </a:solidFill>
                  </a:rPr>
                  <a:t> (log</a:t>
                </a:r>
                <a:r>
                  <a:rPr lang="en-US" baseline="-25000">
                    <a:solidFill>
                      <a:sysClr val="windowText" lastClr="000000"/>
                    </a:solidFill>
                  </a:rPr>
                  <a:t>10</a:t>
                </a:r>
                <a:r>
                  <a:rPr lang="en-US">
                    <a:solidFill>
                      <a:sysClr val="windowText" lastClr="000000"/>
                    </a:solidFill>
                  </a:rPr>
                  <a:t> cfu/g)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NL"/>
          </a:p>
        </c:txPr>
        <c:crossAx val="436749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01386232231051"/>
          <c:y val="0.14158926702206384"/>
          <c:w val="0.20386749527780562"/>
          <c:h val="0.20977845381079149"/>
        </c:manualLayout>
      </c:layout>
      <c:overlay val="0"/>
      <c:spPr>
        <a:solidFill>
          <a:schemeClr val="bg1"/>
        </a:solidFill>
        <a:ln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NL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  <a:round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NL"/>
    </a:p>
  </c:txPr>
  <c:printSettings>
    <c:headerFooter/>
    <c:pageMargins b="0.78740157499999996" l="0.7" r="0.7" t="0.78740157499999996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5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48344</xdr:colOff>
      <xdr:row>37</xdr:row>
      <xdr:rowOff>51365</xdr:rowOff>
    </xdr:from>
    <xdr:to>
      <xdr:col>9</xdr:col>
      <xdr:colOff>576943</xdr:colOff>
      <xdr:row>73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0.03059</cdr:x>
      <cdr:y>0.53739</cdr:y>
    </cdr:from>
    <cdr:to>
      <cdr:x>0.0844</cdr:x>
      <cdr:y>0.58609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211212" y="2522765"/>
          <a:ext cx="371475" cy="22860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1100">
              <a:solidFill>
                <a:schemeClr val="bg1"/>
              </a:solidFill>
            </a:rPr>
            <a:t>WW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9.bin"/><Relationship Id="rId1" Type="http://schemas.openxmlformats.org/officeDocument/2006/relationships/printerSettings" Target="../printerSettings/printerSettings18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1.bin"/><Relationship Id="rId1" Type="http://schemas.openxmlformats.org/officeDocument/2006/relationships/printerSettings" Target="../printerSettings/printerSettings3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5.bin"/><Relationship Id="rId1" Type="http://schemas.openxmlformats.org/officeDocument/2006/relationships/printerSettings" Target="../printerSettings/printerSettings34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9.bin"/><Relationship Id="rId1" Type="http://schemas.openxmlformats.org/officeDocument/2006/relationships/printerSettings" Target="../printerSettings/printerSettings6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5.bin"/><Relationship Id="rId1" Type="http://schemas.openxmlformats.org/officeDocument/2006/relationships/printerSettings" Target="../printerSettings/printerSettings74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7.bin"/><Relationship Id="rId1" Type="http://schemas.openxmlformats.org/officeDocument/2006/relationships/printerSettings" Target="../printerSettings/printerSettings76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1"/>
  <sheetViews>
    <sheetView zoomScaleNormal="100" workbookViewId="0">
      <selection activeCell="D23" sqref="D23"/>
    </sheetView>
  </sheetViews>
  <sheetFormatPr defaultColWidth="11.44140625" defaultRowHeight="13.2" x14ac:dyDescent="0.25"/>
  <cols>
    <col min="1" max="1" width="22.109375" style="38" customWidth="1"/>
    <col min="2" max="2" width="15.33203125" style="38" customWidth="1"/>
    <col min="3" max="16384" width="11.44140625" style="38"/>
  </cols>
  <sheetData>
    <row r="1" spans="1:3" x14ac:dyDescent="0.25">
      <c r="A1" s="72" t="s">
        <v>150</v>
      </c>
    </row>
    <row r="3" spans="1:3" ht="15.6" x14ac:dyDescent="0.25">
      <c r="A3" s="147" t="s">
        <v>118</v>
      </c>
      <c r="B3" s="147" t="s">
        <v>119</v>
      </c>
    </row>
    <row r="4" spans="1:3" x14ac:dyDescent="0.25">
      <c r="B4" s="147" t="s">
        <v>120</v>
      </c>
    </row>
    <row r="5" spans="1:3" ht="15.6" x14ac:dyDescent="0.25">
      <c r="B5" s="147" t="s">
        <v>121</v>
      </c>
    </row>
    <row r="6" spans="1:3" ht="15.6" x14ac:dyDescent="0.25">
      <c r="B6" s="147" t="s">
        <v>122</v>
      </c>
    </row>
    <row r="8" spans="1:3" x14ac:dyDescent="0.25">
      <c r="A8" s="147" t="s">
        <v>123</v>
      </c>
      <c r="B8" s="147" t="s">
        <v>124</v>
      </c>
    </row>
    <row r="9" spans="1:3" x14ac:dyDescent="0.25">
      <c r="B9" s="147" t="s">
        <v>125</v>
      </c>
    </row>
    <row r="10" spans="1:3" x14ac:dyDescent="0.25">
      <c r="B10" s="147" t="s">
        <v>126</v>
      </c>
    </row>
    <row r="11" spans="1:3" x14ac:dyDescent="0.25">
      <c r="C11" s="148"/>
    </row>
    <row r="12" spans="1:3" x14ac:dyDescent="0.25">
      <c r="A12" s="147" t="s">
        <v>127</v>
      </c>
      <c r="B12" s="147" t="s">
        <v>128</v>
      </c>
      <c r="C12" s="147" t="s">
        <v>129</v>
      </c>
    </row>
    <row r="13" spans="1:3" x14ac:dyDescent="0.25">
      <c r="C13" s="147" t="s">
        <v>130</v>
      </c>
    </row>
    <row r="14" spans="1:3" x14ac:dyDescent="0.25">
      <c r="C14" s="147" t="s">
        <v>131</v>
      </c>
    </row>
    <row r="15" spans="1:3" x14ac:dyDescent="0.25">
      <c r="C15" s="147" t="s">
        <v>132</v>
      </c>
    </row>
    <row r="16" spans="1:3" x14ac:dyDescent="0.25">
      <c r="C16" s="147" t="s">
        <v>133</v>
      </c>
    </row>
    <row r="18" spans="1:3" x14ac:dyDescent="0.25">
      <c r="B18" s="147" t="s">
        <v>134</v>
      </c>
      <c r="C18" s="147" t="s">
        <v>135</v>
      </c>
    </row>
    <row r="19" spans="1:3" x14ac:dyDescent="0.25">
      <c r="C19" s="147" t="s">
        <v>136</v>
      </c>
    </row>
    <row r="20" spans="1:3" x14ac:dyDescent="0.25">
      <c r="C20" s="147" t="s">
        <v>137</v>
      </c>
    </row>
    <row r="21" spans="1:3" x14ac:dyDescent="0.25">
      <c r="C21" s="147" t="s">
        <v>138</v>
      </c>
    </row>
    <row r="23" spans="1:3" x14ac:dyDescent="0.25">
      <c r="A23" s="147" t="s">
        <v>139</v>
      </c>
      <c r="B23" s="147" t="s">
        <v>140</v>
      </c>
    </row>
    <row r="24" spans="1:3" x14ac:dyDescent="0.25">
      <c r="B24" s="147" t="s">
        <v>141</v>
      </c>
    </row>
    <row r="25" spans="1:3" x14ac:dyDescent="0.25">
      <c r="B25" s="147" t="s">
        <v>142</v>
      </c>
      <c r="C25" s="147" t="s">
        <v>143</v>
      </c>
    </row>
    <row r="26" spans="1:3" x14ac:dyDescent="0.25">
      <c r="C26" s="147" t="s">
        <v>144</v>
      </c>
    </row>
    <row r="27" spans="1:3" x14ac:dyDescent="0.25">
      <c r="C27" s="147" t="s">
        <v>145</v>
      </c>
    </row>
    <row r="29" spans="1:3" x14ac:dyDescent="0.25">
      <c r="A29" s="147" t="s">
        <v>146</v>
      </c>
      <c r="B29" s="147" t="s">
        <v>147</v>
      </c>
    </row>
    <row r="30" spans="1:3" x14ac:dyDescent="0.25">
      <c r="B30" s="147" t="s">
        <v>148</v>
      </c>
    </row>
    <row r="31" spans="1:3" x14ac:dyDescent="0.25">
      <c r="B31" s="147" t="s">
        <v>149</v>
      </c>
    </row>
  </sheetData>
  <customSheetViews>
    <customSheetView guid="{FE58DACD-0759-49AE-B802-24C56E0F01FD}">
      <selection activeCell="D23" sqref="D23"/>
      <pageMargins left="0.7" right="0.7" top="0.78740157499999996" bottom="0.78740157499999996" header="0.3" footer="0.3"/>
      <pageSetup paperSize="9" orientation="portrait" r:id="rId1"/>
    </customSheetView>
  </customSheetViews>
  <pageMargins left="0.7" right="0.7" top="0.78740157499999996" bottom="0.78740157499999996" header="0.3" footer="0.3"/>
  <pageSetup paperSize="9" scale="53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</sheetPr>
  <dimension ref="A1:K42"/>
  <sheetViews>
    <sheetView zoomScale="80" zoomScaleNormal="80" workbookViewId="0">
      <selection activeCell="E6" sqref="E6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276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114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86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420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2</v>
      </c>
      <c r="C9" s="32">
        <v>2</v>
      </c>
      <c r="D9" s="32">
        <v>105</v>
      </c>
      <c r="E9" s="32">
        <v>3</v>
      </c>
      <c r="F9" s="32">
        <v>2</v>
      </c>
      <c r="G9" s="32">
        <v>8</v>
      </c>
      <c r="H9" s="5">
        <f>G9+D9</f>
        <v>113</v>
      </c>
      <c r="I9" s="33">
        <f t="shared" ref="I9:I19" si="0">IF(H9&gt;29,H9/(C9+0.1*F9)*10^(B9),"")</f>
        <v>5136.363636363636</v>
      </c>
      <c r="J9" s="7">
        <f>IF(H9&gt;29,LOG10(I9),"")</f>
        <v>3.7106557626612133</v>
      </c>
      <c r="K9" s="34">
        <f t="shared" ref="K9:K19" si="1">IF(H9&gt;29,(J9-$J$21)^2,"")</f>
        <v>7.241496591333127E-4</v>
      </c>
    </row>
    <row r="10" spans="1:11" x14ac:dyDescent="0.25">
      <c r="A10" s="9">
        <v>2</v>
      </c>
      <c r="B10" s="32">
        <v>2</v>
      </c>
      <c r="C10" s="32">
        <v>2</v>
      </c>
      <c r="D10" s="29">
        <v>318</v>
      </c>
      <c r="E10" s="32">
        <v>3</v>
      </c>
      <c r="F10" s="32">
        <v>2</v>
      </c>
      <c r="G10" s="29">
        <v>34</v>
      </c>
      <c r="H10" s="5">
        <f t="shared" ref="H10:H19" si="2">G10+D10</f>
        <v>352</v>
      </c>
      <c r="I10" s="6">
        <f t="shared" si="0"/>
        <v>16000</v>
      </c>
      <c r="J10" s="7">
        <f t="shared" ref="J10:J19" si="3">IF(H10&gt;29,LOG10(I10),"")</f>
        <v>4.204119982655925</v>
      </c>
      <c r="K10" s="8">
        <f t="shared" si="1"/>
        <v>0.27078935898495105</v>
      </c>
    </row>
    <row r="11" spans="1:11" x14ac:dyDescent="0.25">
      <c r="A11" s="9">
        <v>3</v>
      </c>
      <c r="B11" s="32">
        <v>2</v>
      </c>
      <c r="C11" s="32">
        <v>2</v>
      </c>
      <c r="D11" s="29">
        <v>80</v>
      </c>
      <c r="E11" s="32">
        <v>3</v>
      </c>
      <c r="F11" s="32">
        <v>2</v>
      </c>
      <c r="G11" s="29">
        <v>8</v>
      </c>
      <c r="H11" s="5">
        <f>G11+D11</f>
        <v>88</v>
      </c>
      <c r="I11" s="6">
        <f>IF(H11&gt;29,H11/(C11+0.1*F11)*10^(B11),"")</f>
        <v>4000</v>
      </c>
      <c r="J11" s="7">
        <f t="shared" si="3"/>
        <v>3.6020599913279625</v>
      </c>
      <c r="K11" s="8">
        <f>IF(H11&gt;29,(J11-$J$21)^2,"")</f>
        <v>6.6725605055353394E-3</v>
      </c>
    </row>
    <row r="12" spans="1:11" x14ac:dyDescent="0.25">
      <c r="A12" s="9">
        <v>4</v>
      </c>
      <c r="B12" s="32">
        <v>2</v>
      </c>
      <c r="C12" s="32">
        <v>2</v>
      </c>
      <c r="D12" s="29">
        <v>149</v>
      </c>
      <c r="E12" s="32">
        <v>3</v>
      </c>
      <c r="F12" s="32">
        <v>2</v>
      </c>
      <c r="G12" s="29">
        <v>9</v>
      </c>
      <c r="H12" s="10">
        <f t="shared" si="2"/>
        <v>158</v>
      </c>
      <c r="I12" s="6">
        <f t="shared" si="0"/>
        <v>7181.8181818181811</v>
      </c>
      <c r="J12" s="7">
        <f t="shared" si="3"/>
        <v>3.8562344061322165</v>
      </c>
      <c r="K12" s="8">
        <f t="shared" si="1"/>
        <v>2.9752342120248621E-2</v>
      </c>
    </row>
    <row r="13" spans="1:11" x14ac:dyDescent="0.25">
      <c r="A13" s="9">
        <v>5</v>
      </c>
      <c r="B13" s="32">
        <v>2</v>
      </c>
      <c r="C13" s="32">
        <v>2</v>
      </c>
      <c r="D13" s="29">
        <v>80</v>
      </c>
      <c r="E13" s="32">
        <v>3</v>
      </c>
      <c r="F13" s="32">
        <v>2</v>
      </c>
      <c r="G13" s="29">
        <v>7</v>
      </c>
      <c r="H13" s="10">
        <f t="shared" si="2"/>
        <v>87</v>
      </c>
      <c r="I13" s="6">
        <f t="shared" si="0"/>
        <v>3954.545454545454</v>
      </c>
      <c r="J13" s="7">
        <f t="shared" si="3"/>
        <v>3.5970965717964121</v>
      </c>
      <c r="K13" s="8">
        <f t="shared" si="1"/>
        <v>7.5080772571775008E-3</v>
      </c>
    </row>
    <row r="14" spans="1:11" x14ac:dyDescent="0.25">
      <c r="A14" s="9">
        <v>6</v>
      </c>
      <c r="B14" s="32">
        <v>2</v>
      </c>
      <c r="C14" s="32">
        <v>2</v>
      </c>
      <c r="D14" s="29">
        <v>68</v>
      </c>
      <c r="E14" s="32">
        <v>3</v>
      </c>
      <c r="F14" s="32">
        <v>2</v>
      </c>
      <c r="G14" s="29">
        <v>13</v>
      </c>
      <c r="H14" s="10">
        <f t="shared" si="2"/>
        <v>81</v>
      </c>
      <c r="I14" s="6">
        <f t="shared" si="0"/>
        <v>3681.8181818181811</v>
      </c>
      <c r="J14" s="7">
        <f t="shared" si="3"/>
        <v>3.5660623380564433</v>
      </c>
      <c r="K14" s="8">
        <f t="shared" si="1"/>
        <v>1.3849381608273793E-2</v>
      </c>
    </row>
    <row r="15" spans="1:11" x14ac:dyDescent="0.25">
      <c r="A15" s="9">
        <v>7</v>
      </c>
      <c r="B15" s="32">
        <v>2</v>
      </c>
      <c r="C15" s="32">
        <v>2</v>
      </c>
      <c r="D15" s="29">
        <v>84</v>
      </c>
      <c r="E15" s="32">
        <v>3</v>
      </c>
      <c r="F15" s="32">
        <v>2</v>
      </c>
      <c r="G15" s="29">
        <v>7</v>
      </c>
      <c r="H15" s="10">
        <f t="shared" si="2"/>
        <v>91</v>
      </c>
      <c r="I15" s="6">
        <f t="shared" si="0"/>
        <v>4136.363636363636</v>
      </c>
      <c r="J15" s="7">
        <f t="shared" si="3"/>
        <v>3.6166187114988873</v>
      </c>
      <c r="K15" s="8">
        <f t="shared" si="1"/>
        <v>4.5060371084911727E-3</v>
      </c>
    </row>
    <row r="16" spans="1:11" x14ac:dyDescent="0.25">
      <c r="A16" s="9">
        <v>8</v>
      </c>
      <c r="B16" s="32">
        <v>2</v>
      </c>
      <c r="C16" s="32">
        <v>2</v>
      </c>
      <c r="D16" s="29">
        <v>149</v>
      </c>
      <c r="E16" s="32">
        <v>3</v>
      </c>
      <c r="F16" s="32">
        <v>2</v>
      </c>
      <c r="G16" s="29">
        <v>12</v>
      </c>
      <c r="H16" s="10">
        <f t="shared" si="2"/>
        <v>161</v>
      </c>
      <c r="I16" s="6">
        <f t="shared" si="0"/>
        <v>7318.1818181818171</v>
      </c>
      <c r="J16" s="7">
        <f t="shared" si="3"/>
        <v>3.8644031952096434</v>
      </c>
      <c r="K16" s="8">
        <f t="shared" si="1"/>
        <v>3.2637118402061981E-2</v>
      </c>
    </row>
    <row r="17" spans="1:11" x14ac:dyDescent="0.25">
      <c r="A17" s="9">
        <v>9</v>
      </c>
      <c r="B17" s="32">
        <v>2</v>
      </c>
      <c r="C17" s="32">
        <v>2</v>
      </c>
      <c r="D17" s="29">
        <v>133</v>
      </c>
      <c r="E17" s="32">
        <v>3</v>
      </c>
      <c r="F17" s="32">
        <v>2</v>
      </c>
      <c r="G17" s="29">
        <v>13</v>
      </c>
      <c r="H17" s="10">
        <f t="shared" si="2"/>
        <v>146</v>
      </c>
      <c r="I17" s="6">
        <f t="shared" si="0"/>
        <v>6636.363636363636</v>
      </c>
      <c r="J17" s="7">
        <f t="shared" si="3"/>
        <v>3.821930174962231</v>
      </c>
      <c r="K17" s="8">
        <f t="shared" si="1"/>
        <v>1.9094939809214246E-2</v>
      </c>
    </row>
    <row r="18" spans="1:11" x14ac:dyDescent="0.25">
      <c r="A18" s="9">
        <v>10</v>
      </c>
      <c r="B18" s="32">
        <v>2</v>
      </c>
      <c r="C18" s="32">
        <v>2</v>
      </c>
      <c r="D18" s="29">
        <v>129</v>
      </c>
      <c r="E18" s="32">
        <v>3</v>
      </c>
      <c r="F18" s="32">
        <v>2</v>
      </c>
      <c r="G18" s="29">
        <v>13</v>
      </c>
      <c r="H18" s="10">
        <f t="shared" si="2"/>
        <v>142</v>
      </c>
      <c r="I18" s="6">
        <f t="shared" si="0"/>
        <v>6454.545454545455</v>
      </c>
      <c r="J18" s="7">
        <f t="shared" si="3"/>
        <v>3.8098656635608501</v>
      </c>
      <c r="K18" s="8">
        <f t="shared" si="1"/>
        <v>1.5906236710167779E-2</v>
      </c>
    </row>
    <row r="19" spans="1:11" ht="13.8" thickBot="1" x14ac:dyDescent="0.3">
      <c r="A19" s="11">
        <v>11</v>
      </c>
      <c r="B19" s="156"/>
      <c r="C19" s="156"/>
      <c r="D19" s="157"/>
      <c r="E19" s="156">
        <v>3</v>
      </c>
      <c r="F19" s="156">
        <v>2</v>
      </c>
      <c r="G19" s="30">
        <v>149</v>
      </c>
      <c r="H19" s="12">
        <f t="shared" si="2"/>
        <v>149</v>
      </c>
      <c r="I19" s="27">
        <f t="shared" si="0"/>
        <v>745</v>
      </c>
      <c r="J19" s="13">
        <f t="shared" si="3"/>
        <v>2.8721562727482928</v>
      </c>
      <c r="K19" s="25">
        <f t="shared" si="1"/>
        <v>0.65867745311461345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5931.363636363636</v>
      </c>
      <c r="J21" s="17">
        <f>AVERAGE(J9:J19)</f>
        <v>3.6837457336918251</v>
      </c>
      <c r="K21" s="18">
        <f>SUM(K9:K19)</f>
        <v>1.0601176552798681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3861.1647441954847</v>
      </c>
      <c r="J22" s="31">
        <f>STDEV(J9:J19)</f>
        <v>0.32559448018660697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65.097420777301451</v>
      </c>
      <c r="J23" s="19">
        <f>J22/J21*100</f>
        <v>8.8386795323220753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0.32559448018660697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K42" sqref="K42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22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{C53B9736-124E-4430-8F83-CDBC3B7C4DA6}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53B9736-124E-4430-8F83-CDBC3B7C4DA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C000"/>
  </sheetPr>
  <dimension ref="A1:K42"/>
  <sheetViews>
    <sheetView zoomScaleNormal="100" workbookViewId="0">
      <selection activeCell="B7" sqref="B7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19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277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113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86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421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2</v>
      </c>
      <c r="C9" s="32">
        <v>2</v>
      </c>
      <c r="D9" s="32">
        <v>136</v>
      </c>
      <c r="E9" s="32">
        <v>3</v>
      </c>
      <c r="F9" s="32">
        <v>2</v>
      </c>
      <c r="G9" s="32">
        <v>10</v>
      </c>
      <c r="H9" s="5">
        <f>G9+D9</f>
        <v>146</v>
      </c>
      <c r="I9" s="33">
        <f t="shared" ref="I9:I19" si="0">IF(H9&gt;29,H9/(C9+0.1*F9)*10^(B9),"")</f>
        <v>6636.363636363636</v>
      </c>
      <c r="J9" s="7">
        <f>IF(H9&gt;29,LOG10(I9),"")</f>
        <v>3.821930174962231</v>
      </c>
      <c r="K9" s="34">
        <f t="shared" ref="K9:K19" si="1">IF(H9&gt;29,(J9-$J$21)^2,"")</f>
        <v>5.9823104911447947E-2</v>
      </c>
    </row>
    <row r="10" spans="1:11" x14ac:dyDescent="0.25">
      <c r="A10" s="9">
        <v>2</v>
      </c>
      <c r="B10" s="29">
        <v>2</v>
      </c>
      <c r="C10" s="29">
        <v>2</v>
      </c>
      <c r="D10" s="29">
        <v>65</v>
      </c>
      <c r="E10" s="29">
        <v>3</v>
      </c>
      <c r="F10" s="29">
        <v>2</v>
      </c>
      <c r="G10" s="29">
        <v>4</v>
      </c>
      <c r="H10" s="5">
        <f t="shared" ref="H10:H19" si="2">G10+D10</f>
        <v>69</v>
      </c>
      <c r="I10" s="6">
        <f t="shared" si="0"/>
        <v>3136.363636363636</v>
      </c>
      <c r="J10" s="7">
        <f t="shared" ref="J10:J19" si="3">IF(H10&gt;29,LOG10(I10),"")</f>
        <v>3.496426409915049</v>
      </c>
      <c r="K10" s="8">
        <f t="shared" si="1"/>
        <v>0.32500418976213352</v>
      </c>
    </row>
    <row r="11" spans="1:11" x14ac:dyDescent="0.25">
      <c r="A11" s="9">
        <v>3</v>
      </c>
      <c r="B11" s="29">
        <v>3</v>
      </c>
      <c r="C11" s="29">
        <v>2</v>
      </c>
      <c r="D11" s="29">
        <v>51</v>
      </c>
      <c r="E11" s="29">
        <v>4</v>
      </c>
      <c r="F11" s="29">
        <v>1</v>
      </c>
      <c r="G11" s="29">
        <v>2</v>
      </c>
      <c r="H11" s="5">
        <f>G11+D11</f>
        <v>53</v>
      </c>
      <c r="I11" s="6">
        <f>IF(H11&gt;29,H11/(C11+0.1*F11)*10^(B11),"")</f>
        <v>25238.095238095237</v>
      </c>
      <c r="J11" s="7">
        <f t="shared" si="3"/>
        <v>4.4020565748668696</v>
      </c>
      <c r="K11" s="8">
        <f>IF(H11&gt;29,(J11-$J$21)^2,"")</f>
        <v>0.11258627137370646</v>
      </c>
    </row>
    <row r="12" spans="1:11" x14ac:dyDescent="0.25">
      <c r="A12" s="9">
        <v>4</v>
      </c>
      <c r="B12" s="29">
        <v>3</v>
      </c>
      <c r="C12" s="29">
        <v>1</v>
      </c>
      <c r="D12" s="29">
        <v>32</v>
      </c>
      <c r="E12" s="29">
        <v>4</v>
      </c>
      <c r="F12" s="29">
        <v>1</v>
      </c>
      <c r="G12" s="29">
        <v>5</v>
      </c>
      <c r="H12" s="10">
        <f t="shared" si="2"/>
        <v>37</v>
      </c>
      <c r="I12" s="6">
        <f t="shared" si="0"/>
        <v>33636.363636363632</v>
      </c>
      <c r="J12" s="7">
        <f t="shared" si="3"/>
        <v>4.5268090389087696</v>
      </c>
      <c r="K12" s="8">
        <f t="shared" si="1"/>
        <v>0.21186802726997619</v>
      </c>
    </row>
    <row r="13" spans="1:11" x14ac:dyDescent="0.25">
      <c r="A13" s="9">
        <v>5</v>
      </c>
      <c r="B13" s="29">
        <v>2</v>
      </c>
      <c r="C13" s="29">
        <v>2</v>
      </c>
      <c r="D13" s="29">
        <v>127</v>
      </c>
      <c r="E13" s="29">
        <v>3</v>
      </c>
      <c r="F13" s="29">
        <v>2</v>
      </c>
      <c r="G13" s="29">
        <v>9</v>
      </c>
      <c r="H13" s="10">
        <f t="shared" si="2"/>
        <v>136</v>
      </c>
      <c r="I13" s="6">
        <f t="shared" si="0"/>
        <v>6181.8181818181811</v>
      </c>
      <c r="J13" s="7">
        <f t="shared" si="3"/>
        <v>3.7911162275480113</v>
      </c>
      <c r="K13" s="8">
        <f t="shared" si="1"/>
        <v>7.5846024521202038E-2</v>
      </c>
    </row>
    <row r="14" spans="1:11" x14ac:dyDescent="0.25">
      <c r="A14" s="9">
        <v>6</v>
      </c>
      <c r="B14" s="29">
        <v>3</v>
      </c>
      <c r="C14" s="29">
        <v>2</v>
      </c>
      <c r="D14" s="29">
        <v>41</v>
      </c>
      <c r="E14" s="29">
        <v>4</v>
      </c>
      <c r="F14" s="29">
        <v>1</v>
      </c>
      <c r="G14" s="29">
        <v>2</v>
      </c>
      <c r="H14" s="10">
        <f t="shared" si="2"/>
        <v>43</v>
      </c>
      <c r="I14" s="6">
        <f t="shared" si="0"/>
        <v>20476.190476190473</v>
      </c>
      <c r="J14" s="7">
        <f t="shared" si="3"/>
        <v>4.3112491608456676</v>
      </c>
      <c r="K14" s="8">
        <f t="shared" si="1"/>
        <v>5.9893440392369421E-2</v>
      </c>
    </row>
    <row r="15" spans="1:11" x14ac:dyDescent="0.25">
      <c r="A15" s="9">
        <v>7</v>
      </c>
      <c r="B15" s="29">
        <v>2</v>
      </c>
      <c r="C15" s="29">
        <v>2</v>
      </c>
      <c r="D15" s="29">
        <v>166</v>
      </c>
      <c r="E15" s="29">
        <v>3</v>
      </c>
      <c r="F15" s="29">
        <v>2</v>
      </c>
      <c r="G15" s="29">
        <v>17</v>
      </c>
      <c r="H15" s="10">
        <f t="shared" si="2"/>
        <v>183</v>
      </c>
      <c r="I15" s="6">
        <f t="shared" si="0"/>
        <v>8318.181818181818</v>
      </c>
      <c r="J15" s="7">
        <f t="shared" si="3"/>
        <v>3.9200284089082231</v>
      </c>
      <c r="K15" s="8">
        <f t="shared" si="1"/>
        <v>2.1459140857855934E-2</v>
      </c>
    </row>
    <row r="16" spans="1:11" x14ac:dyDescent="0.25">
      <c r="A16" s="9">
        <v>8</v>
      </c>
      <c r="B16" s="29">
        <v>3</v>
      </c>
      <c r="C16" s="29">
        <v>2</v>
      </c>
      <c r="D16" s="29">
        <v>33</v>
      </c>
      <c r="E16" s="29">
        <v>4</v>
      </c>
      <c r="F16" s="29">
        <v>2</v>
      </c>
      <c r="G16" s="29">
        <v>3</v>
      </c>
      <c r="H16" s="10">
        <f t="shared" si="2"/>
        <v>36</v>
      </c>
      <c r="I16" s="6">
        <f t="shared" si="0"/>
        <v>16363.636363636364</v>
      </c>
      <c r="J16" s="7">
        <f t="shared" si="3"/>
        <v>4.2138798199450811</v>
      </c>
      <c r="K16" s="8">
        <f t="shared" si="1"/>
        <v>2.1715565771909254E-2</v>
      </c>
    </row>
    <row r="17" spans="1:11" x14ac:dyDescent="0.25">
      <c r="A17" s="9">
        <v>9</v>
      </c>
      <c r="B17" s="29">
        <v>3</v>
      </c>
      <c r="C17" s="29">
        <v>2</v>
      </c>
      <c r="D17" s="29">
        <v>46</v>
      </c>
      <c r="E17" s="29">
        <v>4</v>
      </c>
      <c r="F17" s="29">
        <v>2</v>
      </c>
      <c r="G17" s="29">
        <v>2</v>
      </c>
      <c r="H17" s="10">
        <f t="shared" si="2"/>
        <v>48</v>
      </c>
      <c r="I17" s="6">
        <f t="shared" si="0"/>
        <v>21818.181818181816</v>
      </c>
      <c r="J17" s="7">
        <f t="shared" si="3"/>
        <v>4.338818556553381</v>
      </c>
      <c r="K17" s="8">
        <f t="shared" si="1"/>
        <v>7.4147703589491909E-2</v>
      </c>
    </row>
    <row r="18" spans="1:11" x14ac:dyDescent="0.25">
      <c r="A18" s="9">
        <v>10</v>
      </c>
      <c r="B18" s="29">
        <v>2</v>
      </c>
      <c r="C18" s="29">
        <v>2</v>
      </c>
      <c r="D18" s="29">
        <v>92</v>
      </c>
      <c r="E18" s="29">
        <v>3</v>
      </c>
      <c r="F18" s="29">
        <v>2</v>
      </c>
      <c r="G18" s="29">
        <v>5</v>
      </c>
      <c r="H18" s="10">
        <f t="shared" si="2"/>
        <v>97</v>
      </c>
      <c r="I18" s="6">
        <f t="shared" si="0"/>
        <v>4409.090909090909</v>
      </c>
      <c r="J18" s="7">
        <f t="shared" si="3"/>
        <v>3.6443490534440386</v>
      </c>
      <c r="K18" s="8">
        <f t="shared" si="1"/>
        <v>0.17822644813462044</v>
      </c>
    </row>
    <row r="19" spans="1:11" ht="13.8" thickBot="1" x14ac:dyDescent="0.3">
      <c r="A19" s="11">
        <v>11</v>
      </c>
      <c r="B19" s="30">
        <v>2</v>
      </c>
      <c r="C19" s="30">
        <v>2</v>
      </c>
      <c r="D19" s="30">
        <v>380</v>
      </c>
      <c r="E19" s="30">
        <v>3</v>
      </c>
      <c r="F19" s="30">
        <v>2</v>
      </c>
      <c r="G19" s="30">
        <v>25</v>
      </c>
      <c r="H19" s="12">
        <f t="shared" si="2"/>
        <v>405</v>
      </c>
      <c r="I19" s="27">
        <f t="shared" si="0"/>
        <v>18409.090909090908</v>
      </c>
      <c r="J19" s="13">
        <f t="shared" si="3"/>
        <v>4.2650323423924625</v>
      </c>
      <c r="K19" s="25">
        <f t="shared" si="1"/>
        <v>3.940802468582312E-2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14965.761511216057</v>
      </c>
      <c r="J21" s="17">
        <f>AVERAGE(J9:J19)</f>
        <v>4.0665177971172533</v>
      </c>
      <c r="K21" s="18">
        <f>SUM(K9:K19)</f>
        <v>1.1799779412705362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9936.5390364494415</v>
      </c>
      <c r="J22" s="31">
        <f>STDEV(J9:J19)</f>
        <v>0.34350806995914029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66.395144871194987</v>
      </c>
      <c r="J23" s="19">
        <f>J22/J21*100</f>
        <v>8.4472289830540639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0.34350806995914029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>
      <selection activeCell="B4" sqref="B4:D4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21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{472A49BE-BA6E-4D8A-8C32-161EB87177A5}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72A49BE-BA6E-4D8A-8C32-161EB87177A5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383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338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413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3</v>
      </c>
      <c r="D9" s="32">
        <f>28+25+27+12+9+9</f>
        <v>110</v>
      </c>
      <c r="E9" s="32">
        <v>4</v>
      </c>
      <c r="F9" s="32">
        <v>2</v>
      </c>
      <c r="G9" s="32">
        <f>8+9+3+2</f>
        <v>22</v>
      </c>
      <c r="H9" s="5">
        <f>G9+D9</f>
        <v>132</v>
      </c>
      <c r="I9" s="33">
        <f t="shared" ref="I9:I19" si="0">IF(H9&gt;29,H9/(C9+0.1*F9)*10^(B9),"")</f>
        <v>41250</v>
      </c>
      <c r="J9" s="7">
        <f>IF(H9&gt;29,LOG10(I9),"")</f>
        <v>4.6154239528859442</v>
      </c>
      <c r="K9" s="34">
        <f>IF(H9&gt;29,(J9-$J$21)^2,"")</f>
        <v>9.5159463724753049E-3</v>
      </c>
    </row>
    <row r="10" spans="1:11" x14ac:dyDescent="0.25">
      <c r="A10" s="9">
        <v>2</v>
      </c>
      <c r="B10" s="32">
        <v>3</v>
      </c>
      <c r="C10" s="32">
        <v>3</v>
      </c>
      <c r="D10" s="29">
        <f>26+28+34+6+5+15</f>
        <v>114</v>
      </c>
      <c r="E10" s="32">
        <v>4</v>
      </c>
      <c r="F10" s="32">
        <v>3</v>
      </c>
      <c r="G10" s="29">
        <f>1+5+1+3+4</f>
        <v>14</v>
      </c>
      <c r="H10" s="5">
        <f t="shared" ref="H10:H19" si="1">G10+D10</f>
        <v>128</v>
      </c>
      <c r="I10" s="6">
        <f t="shared" si="0"/>
        <v>38787.878787878792</v>
      </c>
      <c r="J10" s="7">
        <f t="shared" ref="J10:J19" si="2">IF(H10&gt;29,LOG10(I10),"")</f>
        <v>4.5886960297699808</v>
      </c>
      <c r="K10" s="8">
        <f t="shared" ref="K10:K19" si="3">IF(H10&gt;29,(J10-$J$21)^2,"")</f>
        <v>5.0157258251611438E-3</v>
      </c>
    </row>
    <row r="11" spans="1:11" x14ac:dyDescent="0.25">
      <c r="A11" s="9">
        <v>3</v>
      </c>
      <c r="B11" s="32">
        <v>3</v>
      </c>
      <c r="C11" s="32">
        <v>3</v>
      </c>
      <c r="D11" s="29">
        <f>14+16+22+10+9+6</f>
        <v>77</v>
      </c>
      <c r="E11" s="32">
        <v>4</v>
      </c>
      <c r="F11" s="32">
        <v>3</v>
      </c>
      <c r="G11" s="29">
        <f>5+5+2+5+3+4</f>
        <v>24</v>
      </c>
      <c r="H11" s="5">
        <f>G11+D11</f>
        <v>101</v>
      </c>
      <c r="I11" s="6">
        <f>IF(H11&gt;29,H11/(C11+0.1*F11)*10^(B11),"")</f>
        <v>30606.060606060608</v>
      </c>
      <c r="J11" s="7">
        <f t="shared" si="2"/>
        <v>4.4858074339047551</v>
      </c>
      <c r="K11" s="8">
        <f>IF(H11&gt;29,(J11-$J$21)^2,"")</f>
        <v>1.0282800898535178E-3</v>
      </c>
    </row>
    <row r="12" spans="1:11" x14ac:dyDescent="0.25">
      <c r="A12" s="9">
        <v>4</v>
      </c>
      <c r="B12" s="32">
        <v>3</v>
      </c>
      <c r="C12" s="32">
        <v>3</v>
      </c>
      <c r="D12" s="29">
        <f>30+15+7+5+6+21</f>
        <v>84</v>
      </c>
      <c r="E12" s="32">
        <v>4</v>
      </c>
      <c r="F12" s="32">
        <v>3</v>
      </c>
      <c r="G12" s="29">
        <f>7+14+4+3+1</f>
        <v>29</v>
      </c>
      <c r="H12" s="10">
        <f t="shared" si="1"/>
        <v>113</v>
      </c>
      <c r="I12" s="6">
        <f t="shared" si="0"/>
        <v>34242.42424242424</v>
      </c>
      <c r="J12" s="7">
        <f t="shared" si="2"/>
        <v>4.534564503605532</v>
      </c>
      <c r="K12" s="8">
        <f t="shared" si="3"/>
        <v>2.7856488011856551E-4</v>
      </c>
    </row>
    <row r="13" spans="1:11" x14ac:dyDescent="0.25">
      <c r="A13" s="9">
        <v>5</v>
      </c>
      <c r="B13" s="32">
        <v>3</v>
      </c>
      <c r="C13" s="32">
        <v>3</v>
      </c>
      <c r="D13" s="29">
        <f>12+12+16+7+7+8</f>
        <v>62</v>
      </c>
      <c r="E13" s="32">
        <v>4</v>
      </c>
      <c r="F13" s="32">
        <v>1</v>
      </c>
      <c r="G13" s="29">
        <v>5</v>
      </c>
      <c r="H13" s="10">
        <f t="shared" si="1"/>
        <v>67</v>
      </c>
      <c r="I13" s="6">
        <f t="shared" si="0"/>
        <v>21612.903225806451</v>
      </c>
      <c r="J13" s="7">
        <f t="shared" si="2"/>
        <v>4.3347131088665538</v>
      </c>
      <c r="K13" s="8">
        <f t="shared" si="3"/>
        <v>3.3548000167728652E-2</v>
      </c>
    </row>
    <row r="14" spans="1:11" x14ac:dyDescent="0.25">
      <c r="A14" s="9">
        <v>6</v>
      </c>
      <c r="B14" s="32">
        <v>3</v>
      </c>
      <c r="C14" s="32">
        <v>3</v>
      </c>
      <c r="D14" s="29">
        <f>30+30+63+13+10+4</f>
        <v>150</v>
      </c>
      <c r="E14" s="32">
        <v>4</v>
      </c>
      <c r="F14" s="32">
        <v>3</v>
      </c>
      <c r="G14" s="29">
        <f>6+10+3+5+6+9</f>
        <v>39</v>
      </c>
      <c r="H14" s="10">
        <f t="shared" si="1"/>
        <v>189</v>
      </c>
      <c r="I14" s="6">
        <f t="shared" si="0"/>
        <v>57272.727272727272</v>
      </c>
      <c r="J14" s="7">
        <f t="shared" si="2"/>
        <v>4.7579478642953568</v>
      </c>
      <c r="K14" s="8">
        <f t="shared" si="3"/>
        <v>5.7635344807521215E-2</v>
      </c>
    </row>
    <row r="15" spans="1:11" x14ac:dyDescent="0.25">
      <c r="A15" s="9">
        <v>7</v>
      </c>
      <c r="B15" s="32">
        <v>3</v>
      </c>
      <c r="C15" s="32">
        <v>3</v>
      </c>
      <c r="D15" s="29">
        <f>14+13+20+11+16+6</f>
        <v>80</v>
      </c>
      <c r="E15" s="32">
        <v>4</v>
      </c>
      <c r="F15" s="32">
        <v>3</v>
      </c>
      <c r="G15" s="29">
        <f>2+3+4+2+5+5</f>
        <v>21</v>
      </c>
      <c r="H15" s="10">
        <f t="shared" si="1"/>
        <v>101</v>
      </c>
      <c r="I15" s="6">
        <f t="shared" si="0"/>
        <v>30606.060606060608</v>
      </c>
      <c r="J15" s="7">
        <f t="shared" si="2"/>
        <v>4.4858074339047551</v>
      </c>
      <c r="K15" s="8">
        <f t="shared" si="3"/>
        <v>1.0282800898535178E-3</v>
      </c>
    </row>
    <row r="16" spans="1:11" x14ac:dyDescent="0.25">
      <c r="A16" s="9">
        <v>8</v>
      </c>
      <c r="B16" s="32">
        <v>3</v>
      </c>
      <c r="C16" s="32">
        <v>3</v>
      </c>
      <c r="D16" s="29">
        <f>18+19+26+1+4+6</f>
        <v>74</v>
      </c>
      <c r="E16" s="32">
        <v>4</v>
      </c>
      <c r="F16" s="32">
        <v>3</v>
      </c>
      <c r="G16" s="29">
        <f>5+4+2+3+3+1</f>
        <v>18</v>
      </c>
      <c r="H16" s="10">
        <f t="shared" si="1"/>
        <v>92</v>
      </c>
      <c r="I16" s="6">
        <f t="shared" si="0"/>
        <v>27878.78787878788</v>
      </c>
      <c r="J16" s="7">
        <f t="shared" si="2"/>
        <v>4.4452738874676676</v>
      </c>
      <c r="K16" s="8">
        <f t="shared" si="3"/>
        <v>5.2708112709168907E-3</v>
      </c>
    </row>
    <row r="17" spans="1:11" x14ac:dyDescent="0.25">
      <c r="A17" s="9">
        <v>9</v>
      </c>
      <c r="B17" s="32">
        <v>3</v>
      </c>
      <c r="C17" s="32">
        <v>3</v>
      </c>
      <c r="D17" s="29">
        <f>15+24+17+2+12+18</f>
        <v>88</v>
      </c>
      <c r="E17" s="32">
        <v>4</v>
      </c>
      <c r="F17" s="32">
        <v>3</v>
      </c>
      <c r="G17" s="29">
        <f>1+1+4+2+3</f>
        <v>11</v>
      </c>
      <c r="H17" s="10">
        <f t="shared" si="1"/>
        <v>99</v>
      </c>
      <c r="I17" s="6">
        <f t="shared" si="0"/>
        <v>30000</v>
      </c>
      <c r="J17" s="7">
        <f t="shared" si="2"/>
        <v>4.4771212547196626</v>
      </c>
      <c r="K17" s="8">
        <f t="shared" si="3"/>
        <v>1.6608058559050309E-3</v>
      </c>
    </row>
    <row r="18" spans="1:11" x14ac:dyDescent="0.25">
      <c r="A18" s="9">
        <v>10</v>
      </c>
      <c r="B18" s="32">
        <v>3</v>
      </c>
      <c r="C18" s="32">
        <v>3</v>
      </c>
      <c r="D18" s="29">
        <f>15+20+20+10+3+14</f>
        <v>82</v>
      </c>
      <c r="E18" s="32">
        <v>4</v>
      </c>
      <c r="F18" s="32">
        <v>3</v>
      </c>
      <c r="G18" s="29">
        <f>1+2+2+5+2+2</f>
        <v>14</v>
      </c>
      <c r="H18" s="10">
        <f t="shared" si="1"/>
        <v>96</v>
      </c>
      <c r="I18" s="6">
        <f t="shared" si="0"/>
        <v>29090.909090909092</v>
      </c>
      <c r="J18" s="7">
        <f t="shared" si="2"/>
        <v>4.4637572931616809</v>
      </c>
      <c r="K18" s="8">
        <f t="shared" si="3"/>
        <v>2.928643997043403E-3</v>
      </c>
    </row>
    <row r="19" spans="1:11" ht="13.8" thickBot="1" x14ac:dyDescent="0.3">
      <c r="A19" s="11">
        <v>11</v>
      </c>
      <c r="B19" s="32">
        <v>3</v>
      </c>
      <c r="C19" s="156">
        <v>2</v>
      </c>
      <c r="D19" s="157">
        <f>24+23+1+4</f>
        <v>52</v>
      </c>
      <c r="E19" s="32">
        <v>4</v>
      </c>
      <c r="F19" s="32">
        <v>3</v>
      </c>
      <c r="G19" s="30">
        <f>4+6+5+2+4+1</f>
        <v>22</v>
      </c>
      <c r="H19" s="12">
        <f t="shared" si="1"/>
        <v>74</v>
      </c>
      <c r="I19" s="27">
        <f t="shared" si="0"/>
        <v>32173.913043478264</v>
      </c>
      <c r="J19" s="13">
        <f t="shared" si="2"/>
        <v>4.5075038837133832</v>
      </c>
      <c r="K19" s="25">
        <f t="shared" si="3"/>
        <v>1.0754430138122392E-4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33956.514977648476</v>
      </c>
      <c r="J21" s="17">
        <f>AVERAGE(J9:J19)</f>
        <v>4.5178742405722971</v>
      </c>
      <c r="K21" s="18">
        <f>SUM(K9:K19)</f>
        <v>0.11801794765795845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9351.6036473146705</v>
      </c>
      <c r="J22" s="31">
        <f>STDEV(J9:J19)</f>
        <v>0.10863606567708463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27.539939400348558</v>
      </c>
      <c r="J23" s="19">
        <f>J22/J21*100</f>
        <v>2.4045836579843192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0.10863606567708463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29" spans="1:11" x14ac:dyDescent="0.25">
      <c r="J29" s="151"/>
    </row>
    <row r="30" spans="1:11" x14ac:dyDescent="0.25">
      <c r="A30" t="s">
        <v>102</v>
      </c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{16955DEE-05EC-4791-9E5F-8749D0A35B6A}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6955DEE-05EC-4791-9E5F-8749D0A35B6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19.55468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153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154</v>
      </c>
      <c r="C4" s="202"/>
      <c r="D4" s="203"/>
      <c r="F4" s="201" t="s">
        <v>155</v>
      </c>
      <c r="G4" s="202"/>
      <c r="H4" s="202"/>
      <c r="I4" s="203"/>
    </row>
    <row r="5" spans="1:11" x14ac:dyDescent="0.25">
      <c r="A5" s="24" t="s">
        <v>94</v>
      </c>
      <c r="B5" s="201" t="s">
        <v>151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35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5</v>
      </c>
      <c r="C9" s="32">
        <v>2</v>
      </c>
      <c r="D9" s="32">
        <v>51</v>
      </c>
      <c r="E9" s="32">
        <v>6</v>
      </c>
      <c r="F9" s="32">
        <v>2</v>
      </c>
      <c r="G9" s="32">
        <v>8</v>
      </c>
      <c r="H9" s="5">
        <f>G9+D9</f>
        <v>59</v>
      </c>
      <c r="I9" s="33">
        <f t="shared" ref="I9:I19" si="0">IF(H9&gt;29,H9/(C9+0.1*F9)*10^(B9),"")</f>
        <v>2681818.1818181816</v>
      </c>
      <c r="J9" s="7">
        <f>IF(H9&gt;29,LOG10(I9),"")</f>
        <v>6.4284293308199381</v>
      </c>
      <c r="K9" s="34">
        <f>IF(H9&gt;29,(J9-$J$21)^2,"")</f>
        <v>5.3923027538928851E-2</v>
      </c>
    </row>
    <row r="10" spans="1:11" x14ac:dyDescent="0.25">
      <c r="A10" s="9">
        <v>2</v>
      </c>
      <c r="B10" s="29">
        <v>4</v>
      </c>
      <c r="C10" s="29">
        <v>2</v>
      </c>
      <c r="D10" s="29">
        <v>210</v>
      </c>
      <c r="E10" s="29">
        <v>5</v>
      </c>
      <c r="F10" s="29">
        <v>2</v>
      </c>
      <c r="G10" s="29">
        <v>27</v>
      </c>
      <c r="H10" s="5">
        <f t="shared" ref="H10:H19" si="1">G10+D10</f>
        <v>237</v>
      </c>
      <c r="I10" s="6">
        <f t="shared" si="0"/>
        <v>1077272.7272727273</v>
      </c>
      <c r="J10" s="7">
        <f t="shared" ref="J10:J19" si="2">IF(H10&gt;29,LOG10(I10),"")</f>
        <v>6.0323256651878978</v>
      </c>
      <c r="K10" s="8">
        <f t="shared" ref="K10:K19" si="3">IF(H10&gt;29,(J10-$J$21)^2,"")</f>
        <v>2.6860044294963685E-2</v>
      </c>
    </row>
    <row r="11" spans="1:11" x14ac:dyDescent="0.25">
      <c r="A11" s="9">
        <v>3</v>
      </c>
      <c r="B11" s="29">
        <v>5</v>
      </c>
      <c r="C11" s="29">
        <v>2</v>
      </c>
      <c r="D11" s="29">
        <v>46</v>
      </c>
      <c r="E11" s="29">
        <v>6</v>
      </c>
      <c r="F11" s="29">
        <v>2</v>
      </c>
      <c r="G11" s="29">
        <v>6</v>
      </c>
      <c r="H11" s="5">
        <f>G11+D11</f>
        <v>52</v>
      </c>
      <c r="I11" s="6">
        <f>IF(H11&gt;29,H11/(C11+0.1*F11)*10^(B11),"")</f>
        <v>2363636.3636363633</v>
      </c>
      <c r="J11" s="7">
        <f t="shared" si="2"/>
        <v>6.3735806628125928</v>
      </c>
      <c r="K11" s="8">
        <f>IF(H11&gt;29,(J11-$J$21)^2,"")</f>
        <v>3.1458220963044556E-2</v>
      </c>
    </row>
    <row r="12" spans="1:11" x14ac:dyDescent="0.25">
      <c r="A12" s="9">
        <v>4</v>
      </c>
      <c r="B12" s="29">
        <v>5</v>
      </c>
      <c r="C12" s="29">
        <v>2</v>
      </c>
      <c r="D12" s="29">
        <v>36</v>
      </c>
      <c r="E12" s="29">
        <v>6</v>
      </c>
      <c r="F12" s="29">
        <v>2</v>
      </c>
      <c r="G12" s="29">
        <v>7</v>
      </c>
      <c r="H12" s="10">
        <f t="shared" si="1"/>
        <v>43</v>
      </c>
      <c r="I12" s="6">
        <f t="shared" si="0"/>
        <v>1954545.4545454544</v>
      </c>
      <c r="J12" s="7">
        <f t="shared" si="2"/>
        <v>6.2910457747573805</v>
      </c>
      <c r="K12" s="8">
        <f t="shared" si="3"/>
        <v>8.992684762841912E-3</v>
      </c>
    </row>
    <row r="13" spans="1:11" x14ac:dyDescent="0.25">
      <c r="A13" s="9">
        <v>5</v>
      </c>
      <c r="B13" s="29">
        <v>5</v>
      </c>
      <c r="C13" s="29">
        <v>2</v>
      </c>
      <c r="D13" s="29">
        <v>26</v>
      </c>
      <c r="E13" s="29">
        <v>6</v>
      </c>
      <c r="F13" s="29">
        <v>2</v>
      </c>
      <c r="G13" s="29">
        <v>4</v>
      </c>
      <c r="H13" s="10">
        <f t="shared" si="1"/>
        <v>30</v>
      </c>
      <c r="I13" s="6">
        <f t="shared" si="0"/>
        <v>1363636.3636363635</v>
      </c>
      <c r="J13" s="7">
        <f t="shared" si="2"/>
        <v>6.134698573897456</v>
      </c>
      <c r="K13" s="8">
        <f t="shared" si="3"/>
        <v>3.7843946339600962E-3</v>
      </c>
    </row>
    <row r="14" spans="1:11" x14ac:dyDescent="0.25">
      <c r="A14" s="9">
        <v>6</v>
      </c>
      <c r="B14" s="29">
        <v>4</v>
      </c>
      <c r="C14" s="29">
        <v>2</v>
      </c>
      <c r="D14" s="29">
        <v>145</v>
      </c>
      <c r="E14" s="29">
        <v>5</v>
      </c>
      <c r="F14" s="29">
        <v>2</v>
      </c>
      <c r="G14" s="29">
        <v>20</v>
      </c>
      <c r="H14" s="10">
        <f t="shared" si="1"/>
        <v>165</v>
      </c>
      <c r="I14" s="6">
        <f t="shared" si="0"/>
        <v>750000</v>
      </c>
      <c r="J14" s="7">
        <f t="shared" si="2"/>
        <v>5.8750612633917001</v>
      </c>
      <c r="K14" s="8">
        <f t="shared" si="3"/>
        <v>0.10314036964717099</v>
      </c>
    </row>
    <row r="15" spans="1:11" x14ac:dyDescent="0.25">
      <c r="A15" s="9">
        <v>7</v>
      </c>
      <c r="B15" s="29">
        <v>4</v>
      </c>
      <c r="C15" s="29">
        <v>2</v>
      </c>
      <c r="D15" s="29">
        <v>164</v>
      </c>
      <c r="E15" s="29">
        <v>5</v>
      </c>
      <c r="F15" s="29">
        <v>2</v>
      </c>
      <c r="G15" s="29">
        <v>30</v>
      </c>
      <c r="H15" s="10">
        <f t="shared" si="1"/>
        <v>194</v>
      </c>
      <c r="I15" s="6">
        <f t="shared" si="0"/>
        <v>881818.18181818177</v>
      </c>
      <c r="J15" s="7">
        <f t="shared" si="2"/>
        <v>5.9453790491080198</v>
      </c>
      <c r="K15" s="8">
        <f t="shared" si="3"/>
        <v>6.2919179682767792E-2</v>
      </c>
    </row>
    <row r="16" spans="1:11" x14ac:dyDescent="0.25">
      <c r="A16" s="9">
        <v>8</v>
      </c>
      <c r="B16" s="29">
        <v>5</v>
      </c>
      <c r="C16" s="29">
        <v>2</v>
      </c>
      <c r="D16" s="29">
        <v>30</v>
      </c>
      <c r="E16" s="29">
        <v>6</v>
      </c>
      <c r="F16" s="29">
        <v>1</v>
      </c>
      <c r="G16" s="29">
        <v>1</v>
      </c>
      <c r="H16" s="10">
        <f t="shared" si="1"/>
        <v>31</v>
      </c>
      <c r="I16" s="6">
        <f t="shared" si="0"/>
        <v>1476190.4761904762</v>
      </c>
      <c r="J16" s="7">
        <f t="shared" si="2"/>
        <v>6.1691423991003536</v>
      </c>
      <c r="K16" s="8">
        <f t="shared" si="3"/>
        <v>7.3298027042045018E-4</v>
      </c>
    </row>
    <row r="17" spans="1:11" x14ac:dyDescent="0.25">
      <c r="A17" s="9">
        <v>9</v>
      </c>
      <c r="B17" s="29">
        <v>5</v>
      </c>
      <c r="C17" s="29">
        <v>2</v>
      </c>
      <c r="D17" s="29">
        <v>33</v>
      </c>
      <c r="E17" s="29">
        <v>6</v>
      </c>
      <c r="F17" s="29">
        <v>2</v>
      </c>
      <c r="G17" s="29">
        <v>3</v>
      </c>
      <c r="H17" s="10">
        <f t="shared" si="1"/>
        <v>36</v>
      </c>
      <c r="I17" s="6">
        <f t="shared" si="0"/>
        <v>1636363.6363636362</v>
      </c>
      <c r="J17" s="7">
        <f t="shared" si="2"/>
        <v>6.2138798199450811</v>
      </c>
      <c r="K17" s="8">
        <f t="shared" si="3"/>
        <v>3.1201027098032964E-4</v>
      </c>
    </row>
    <row r="18" spans="1:11" x14ac:dyDescent="0.25">
      <c r="A18" s="9">
        <v>10</v>
      </c>
      <c r="B18" s="29">
        <v>4</v>
      </c>
      <c r="C18" s="29">
        <v>2</v>
      </c>
      <c r="D18" s="29">
        <v>564</v>
      </c>
      <c r="E18" s="29">
        <v>5</v>
      </c>
      <c r="F18" s="29">
        <v>2</v>
      </c>
      <c r="G18" s="29">
        <v>57</v>
      </c>
      <c r="H18" s="10">
        <f t="shared" si="1"/>
        <v>621</v>
      </c>
      <c r="I18" s="6">
        <f t="shared" si="0"/>
        <v>2822727.2727272725</v>
      </c>
      <c r="J18" s="7">
        <f t="shared" si="2"/>
        <v>6.4506689193543743</v>
      </c>
      <c r="K18" s="8">
        <f t="shared" si="3"/>
        <v>6.4746284363923393E-2</v>
      </c>
    </row>
    <row r="19" spans="1:11" ht="13.8" thickBot="1" x14ac:dyDescent="0.3">
      <c r="A19" s="11">
        <v>11</v>
      </c>
      <c r="B19" s="30">
        <v>4</v>
      </c>
      <c r="C19" s="30">
        <v>2</v>
      </c>
      <c r="D19" s="30">
        <v>361</v>
      </c>
      <c r="E19" s="30">
        <v>5</v>
      </c>
      <c r="F19" s="30">
        <v>2</v>
      </c>
      <c r="G19" s="30">
        <v>25</v>
      </c>
      <c r="H19" s="12">
        <f t="shared" si="1"/>
        <v>386</v>
      </c>
      <c r="I19" s="27">
        <f t="shared" si="0"/>
        <v>1754545.4545454544</v>
      </c>
      <c r="J19" s="13">
        <f t="shared" si="2"/>
        <v>6.2441646238495485</v>
      </c>
      <c r="K19" s="25">
        <f t="shared" si="3"/>
        <v>2.2990698122394232E-3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1705686.7375049191</v>
      </c>
      <c r="J21" s="17">
        <f>AVERAGE(J9:J19)</f>
        <v>6.1962160074749395</v>
      </c>
      <c r="K21" s="18">
        <f>SUM(K9:K19)</f>
        <v>0.35916826624124149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697086.87334021565</v>
      </c>
      <c r="J22" s="31">
        <f>STDEV(J9:J19)</f>
        <v>0.18951735177583121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40.86839968984664</v>
      </c>
      <c r="J23" s="19">
        <f>J22/J21*100</f>
        <v>3.0585982081193239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0.18951735177583121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K31" sqref="K31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{A8187140-91B1-46A3-8527-21B4641F9324}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8187140-91B1-46A3-8527-21B4641F932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42"/>
  <sheetViews>
    <sheetView zoomScale="80" zoomScaleNormal="80" workbookViewId="0">
      <selection activeCell="K5" sqref="K5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19.441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153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156</v>
      </c>
      <c r="C4" s="202"/>
      <c r="D4" s="203"/>
      <c r="F4" s="201" t="s">
        <v>155</v>
      </c>
      <c r="G4" s="202"/>
      <c r="H4" s="202"/>
      <c r="I4" s="203"/>
    </row>
    <row r="5" spans="1:11" x14ac:dyDescent="0.25">
      <c r="A5" s="24" t="s">
        <v>94</v>
      </c>
      <c r="B5" s="201" t="s">
        <v>151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35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2</v>
      </c>
      <c r="D9" s="32">
        <v>110</v>
      </c>
      <c r="E9" s="32">
        <v>4</v>
      </c>
      <c r="F9" s="32">
        <v>2</v>
      </c>
      <c r="G9" s="32">
        <v>8</v>
      </c>
      <c r="H9" s="5">
        <f>G9+D9</f>
        <v>118</v>
      </c>
      <c r="I9" s="33">
        <f t="shared" ref="I9:I19" si="0">IF(H9&gt;29,H9/(C9+0.1*F9)*10^(B9),"")</f>
        <v>53636.363636363632</v>
      </c>
      <c r="J9" s="7">
        <f>IF(H9&gt;29,LOG10(I9),"")</f>
        <v>4.7294593264839193</v>
      </c>
      <c r="K9" s="34">
        <f t="shared" ref="K9:K19" si="1">IF(H9&gt;29,(J9-$J$21)^2,"")</f>
        <v>9.9177742638899085E-4</v>
      </c>
    </row>
    <row r="10" spans="1:11" x14ac:dyDescent="0.25">
      <c r="A10" s="9">
        <v>2</v>
      </c>
      <c r="B10" s="29">
        <v>3</v>
      </c>
      <c r="C10" s="29">
        <v>2</v>
      </c>
      <c r="D10" s="29">
        <v>91</v>
      </c>
      <c r="E10" s="29">
        <v>4</v>
      </c>
      <c r="F10" s="29">
        <v>2</v>
      </c>
      <c r="G10" s="29">
        <v>11</v>
      </c>
      <c r="H10" s="5">
        <f t="shared" ref="H10:H19" si="2">G10+D10</f>
        <v>102</v>
      </c>
      <c r="I10" s="6">
        <f t="shared" si="0"/>
        <v>46363.63636363636</v>
      </c>
      <c r="J10" s="7">
        <f t="shared" ref="J10:J19" si="3">IF(H10&gt;29,LOG10(I10),"")</f>
        <v>4.6661774909397113</v>
      </c>
      <c r="K10" s="8">
        <f t="shared" si="1"/>
        <v>1.0105619854272789E-3</v>
      </c>
    </row>
    <row r="11" spans="1:11" x14ac:dyDescent="0.25">
      <c r="A11" s="9">
        <v>3</v>
      </c>
      <c r="B11" s="29">
        <v>3</v>
      </c>
      <c r="C11" s="29">
        <v>2</v>
      </c>
      <c r="D11" s="29">
        <v>156</v>
      </c>
      <c r="E11" s="29">
        <v>4</v>
      </c>
      <c r="F11" s="29">
        <v>2</v>
      </c>
      <c r="G11" s="29">
        <v>19</v>
      </c>
      <c r="H11" s="5">
        <f>G11+D11</f>
        <v>175</v>
      </c>
      <c r="I11" s="6">
        <f>IF(H11&gt;29,H11/(C11+0.1*F11)*10^(B11),"")</f>
        <v>79545.45454545453</v>
      </c>
      <c r="J11" s="7">
        <f t="shared" si="3"/>
        <v>4.9006153678640878</v>
      </c>
      <c r="K11" s="8">
        <f>IF(H11&gt;29,(J11-$J$21)^2,"")</f>
        <v>4.1066430487877732E-2</v>
      </c>
    </row>
    <row r="12" spans="1:11" x14ac:dyDescent="0.25">
      <c r="A12" s="9">
        <v>4</v>
      </c>
      <c r="B12" s="29">
        <v>3</v>
      </c>
      <c r="C12" s="29">
        <v>2</v>
      </c>
      <c r="D12" s="29">
        <v>87</v>
      </c>
      <c r="E12" s="29">
        <v>4</v>
      </c>
      <c r="F12" s="29">
        <v>2</v>
      </c>
      <c r="G12" s="29">
        <v>9</v>
      </c>
      <c r="H12" s="10">
        <f t="shared" si="2"/>
        <v>96</v>
      </c>
      <c r="I12" s="6">
        <f t="shared" si="0"/>
        <v>43636.363636363632</v>
      </c>
      <c r="J12" s="7">
        <f t="shared" si="3"/>
        <v>4.6398485522173623</v>
      </c>
      <c r="K12" s="8">
        <f t="shared" si="1"/>
        <v>3.3777340433765748E-3</v>
      </c>
    </row>
    <row r="13" spans="1:11" x14ac:dyDescent="0.25">
      <c r="A13" s="9">
        <v>5</v>
      </c>
      <c r="B13" s="29">
        <v>3</v>
      </c>
      <c r="C13" s="29">
        <v>2</v>
      </c>
      <c r="D13" s="29">
        <v>92</v>
      </c>
      <c r="E13" s="29">
        <v>4</v>
      </c>
      <c r="F13" s="29">
        <v>2</v>
      </c>
      <c r="G13" s="29">
        <v>5</v>
      </c>
      <c r="H13" s="10">
        <f t="shared" si="2"/>
        <v>97</v>
      </c>
      <c r="I13" s="6">
        <f t="shared" si="0"/>
        <v>44090.909090909088</v>
      </c>
      <c r="J13" s="7">
        <f t="shared" si="3"/>
        <v>4.6443490534440386</v>
      </c>
      <c r="K13" s="8">
        <f t="shared" si="1"/>
        <v>2.8748658068519285E-3</v>
      </c>
    </row>
    <row r="14" spans="1:11" x14ac:dyDescent="0.25">
      <c r="A14" s="9">
        <v>6</v>
      </c>
      <c r="B14" s="29">
        <v>3</v>
      </c>
      <c r="C14" s="29">
        <v>2</v>
      </c>
      <c r="D14" s="29">
        <v>82</v>
      </c>
      <c r="E14" s="29">
        <v>4</v>
      </c>
      <c r="F14" s="29">
        <v>2</v>
      </c>
      <c r="G14" s="29">
        <v>8</v>
      </c>
      <c r="H14" s="10">
        <f t="shared" si="2"/>
        <v>90</v>
      </c>
      <c r="I14" s="6">
        <f t="shared" si="0"/>
        <v>40909.090909090904</v>
      </c>
      <c r="J14" s="7">
        <f t="shared" si="3"/>
        <v>4.6118198286171186</v>
      </c>
      <c r="K14" s="8">
        <f t="shared" si="1"/>
        <v>7.4213055966943402E-3</v>
      </c>
    </row>
    <row r="15" spans="1:11" x14ac:dyDescent="0.25">
      <c r="A15" s="9">
        <v>7</v>
      </c>
      <c r="B15" s="29">
        <v>3</v>
      </c>
      <c r="C15" s="29">
        <v>2</v>
      </c>
      <c r="D15" s="29">
        <v>87</v>
      </c>
      <c r="E15" s="29">
        <v>4</v>
      </c>
      <c r="F15" s="29">
        <v>2</v>
      </c>
      <c r="G15" s="29">
        <v>15</v>
      </c>
      <c r="H15" s="10">
        <f t="shared" si="2"/>
        <v>102</v>
      </c>
      <c r="I15" s="6">
        <f t="shared" si="0"/>
        <v>46363.63636363636</v>
      </c>
      <c r="J15" s="7">
        <f t="shared" si="3"/>
        <v>4.6661774909397113</v>
      </c>
      <c r="K15" s="8">
        <f t="shared" si="1"/>
        <v>1.0105619854272789E-3</v>
      </c>
    </row>
    <row r="16" spans="1:11" x14ac:dyDescent="0.25">
      <c r="A16" s="9">
        <v>8</v>
      </c>
      <c r="B16" s="29">
        <v>3</v>
      </c>
      <c r="C16" s="29">
        <v>2</v>
      </c>
      <c r="D16" s="29">
        <v>98</v>
      </c>
      <c r="E16" s="29">
        <v>4</v>
      </c>
      <c r="F16" s="29">
        <v>2</v>
      </c>
      <c r="G16" s="29">
        <v>7</v>
      </c>
      <c r="H16" s="10">
        <f t="shared" si="2"/>
        <v>105</v>
      </c>
      <c r="I16" s="6">
        <f t="shared" si="0"/>
        <v>47727.272727272728</v>
      </c>
      <c r="J16" s="7">
        <f t="shared" si="3"/>
        <v>4.6787666182477317</v>
      </c>
      <c r="K16" s="8">
        <f t="shared" si="1"/>
        <v>3.6864807548606132E-4</v>
      </c>
    </row>
    <row r="17" spans="1:11" x14ac:dyDescent="0.25">
      <c r="A17" s="9">
        <v>9</v>
      </c>
      <c r="B17" s="29">
        <v>3</v>
      </c>
      <c r="C17" s="29">
        <v>2</v>
      </c>
      <c r="D17" s="29">
        <v>88</v>
      </c>
      <c r="E17" s="29">
        <v>4</v>
      </c>
      <c r="F17" s="29">
        <v>2</v>
      </c>
      <c r="G17" s="29">
        <v>5</v>
      </c>
      <c r="H17" s="10">
        <f t="shared" si="2"/>
        <v>93</v>
      </c>
      <c r="I17" s="6">
        <f t="shared" si="0"/>
        <v>42272.727272727265</v>
      </c>
      <c r="J17" s="7">
        <f t="shared" si="3"/>
        <v>4.6260602677317291</v>
      </c>
      <c r="K17" s="8">
        <f t="shared" si="1"/>
        <v>5.1705534880927446E-3</v>
      </c>
    </row>
    <row r="18" spans="1:11" x14ac:dyDescent="0.25">
      <c r="A18" s="9">
        <v>10</v>
      </c>
      <c r="B18" s="29">
        <v>3</v>
      </c>
      <c r="C18" s="29">
        <v>2</v>
      </c>
      <c r="D18" s="29">
        <v>127</v>
      </c>
      <c r="E18" s="29">
        <v>4</v>
      </c>
      <c r="F18" s="29">
        <v>2</v>
      </c>
      <c r="G18" s="29">
        <v>13</v>
      </c>
      <c r="H18" s="10">
        <f t="shared" si="2"/>
        <v>140</v>
      </c>
      <c r="I18" s="6">
        <f t="shared" si="0"/>
        <v>63636.363636363632</v>
      </c>
      <c r="J18" s="7">
        <f t="shared" si="3"/>
        <v>4.8037053548560316</v>
      </c>
      <c r="K18" s="8">
        <f t="shared" si="1"/>
        <v>1.1180635946281497E-2</v>
      </c>
    </row>
    <row r="19" spans="1:11" ht="13.8" thickBot="1" x14ac:dyDescent="0.3">
      <c r="A19" s="11">
        <v>11</v>
      </c>
      <c r="B19" s="30">
        <v>3</v>
      </c>
      <c r="C19" s="30">
        <v>2</v>
      </c>
      <c r="D19" s="30">
        <v>101</v>
      </c>
      <c r="E19" s="30">
        <v>4</v>
      </c>
      <c r="F19" s="30">
        <v>2</v>
      </c>
      <c r="G19" s="30">
        <v>12</v>
      </c>
      <c r="H19" s="12">
        <f t="shared" si="2"/>
        <v>113</v>
      </c>
      <c r="I19" s="27">
        <f t="shared" si="0"/>
        <v>51363.63636363636</v>
      </c>
      <c r="J19" s="13">
        <f t="shared" si="3"/>
        <v>4.7106557626612133</v>
      </c>
      <c r="K19" s="25">
        <f t="shared" si="1"/>
        <v>1.6100904898793607E-4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50867.768595041314</v>
      </c>
      <c r="J21" s="17">
        <f>AVERAGE(J9:J19)</f>
        <v>4.6979668285456961</v>
      </c>
      <c r="K21" s="18">
        <f>SUM(K9:K19)</f>
        <v>7.4634083890892364E-2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11467.623388296633</v>
      </c>
      <c r="J22" s="31">
        <f>STDEV(J9:J19)</f>
        <v>8.6391020303554902E-2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22.543987489583962</v>
      </c>
      <c r="J23" s="19">
        <f>J22/J21*100</f>
        <v>1.8389023051126594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8.6391020303554902E-2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5" sqref="B5:D5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{B573B2FE-9AC0-40A4-A0D6-8FA458DF50D8}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73B2FE-9AC0-40A4-A0D6-8FA458DF50D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19.66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158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113</v>
      </c>
      <c r="C4" s="202"/>
      <c r="D4" s="203"/>
      <c r="F4" s="201" t="s">
        <v>157</v>
      </c>
      <c r="G4" s="202"/>
      <c r="H4" s="202"/>
      <c r="I4" s="203"/>
    </row>
    <row r="5" spans="1:11" x14ac:dyDescent="0.25">
      <c r="A5" s="24" t="s">
        <v>94</v>
      </c>
      <c r="B5" s="201" t="s">
        <v>36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37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88">
        <v>3</v>
      </c>
      <c r="C9" s="32">
        <v>2</v>
      </c>
      <c r="D9" s="32">
        <v>99</v>
      </c>
      <c r="E9" s="88">
        <v>4</v>
      </c>
      <c r="F9" s="32">
        <v>2</v>
      </c>
      <c r="G9" s="32">
        <v>4</v>
      </c>
      <c r="H9" s="5">
        <f>G9+D9</f>
        <v>103</v>
      </c>
      <c r="I9" s="33">
        <f t="shared" ref="I9:I19" si="0">IF(H9&gt;29,H9/(C9+0.1*F9)*10^(B9),"")</f>
        <v>46818.181818181816</v>
      </c>
      <c r="J9" s="7">
        <f>IF(H9&gt;29,LOG10(I9),"")</f>
        <v>4.6704145438829663</v>
      </c>
      <c r="K9" s="34">
        <f t="shared" ref="K9:K19" si="1">IF(H9&gt;29,(J9-$J$21)^2,"")</f>
        <v>1.2449503847268685E-2</v>
      </c>
    </row>
    <row r="10" spans="1:11" x14ac:dyDescent="0.25">
      <c r="A10" s="9">
        <v>2</v>
      </c>
      <c r="B10" s="88">
        <v>3</v>
      </c>
      <c r="C10" s="32">
        <v>2</v>
      </c>
      <c r="D10" s="29">
        <v>61</v>
      </c>
      <c r="E10" s="88">
        <v>4</v>
      </c>
      <c r="F10" s="32">
        <v>2</v>
      </c>
      <c r="G10" s="29">
        <v>3</v>
      </c>
      <c r="H10" s="5">
        <f t="shared" ref="H10:H19" si="2">G10+D10</f>
        <v>64</v>
      </c>
      <c r="I10" s="6">
        <f t="shared" si="0"/>
        <v>29090.909090909088</v>
      </c>
      <c r="J10" s="7">
        <f t="shared" ref="J10:J19" si="3">IF(H10&gt;29,LOG10(I10),"")</f>
        <v>4.4637572931616809</v>
      </c>
      <c r="K10" s="8">
        <f t="shared" si="1"/>
        <v>9.0401885316018071E-3</v>
      </c>
    </row>
    <row r="11" spans="1:11" x14ac:dyDescent="0.25">
      <c r="A11" s="9">
        <v>3</v>
      </c>
      <c r="B11" s="88">
        <v>3</v>
      </c>
      <c r="C11" s="32">
        <v>2</v>
      </c>
      <c r="D11" s="29">
        <v>79</v>
      </c>
      <c r="E11" s="88">
        <v>4</v>
      </c>
      <c r="F11" s="32">
        <v>2</v>
      </c>
      <c r="G11" s="29">
        <v>5</v>
      </c>
      <c r="H11" s="5">
        <f>G11+D11</f>
        <v>84</v>
      </c>
      <c r="I11" s="6">
        <f>IF(H11&gt;29,H11/(C11+0.1*F11)*10^(B11),"")</f>
        <v>38181.818181818177</v>
      </c>
      <c r="J11" s="7">
        <f t="shared" si="3"/>
        <v>4.5818566052396754</v>
      </c>
      <c r="K11" s="8">
        <f>IF(H11&gt;29,(J11-$J$21)^2,"")</f>
        <v>5.298930545777293E-4</v>
      </c>
    </row>
    <row r="12" spans="1:11" x14ac:dyDescent="0.25">
      <c r="A12" s="9">
        <v>4</v>
      </c>
      <c r="B12" s="88">
        <v>3</v>
      </c>
      <c r="C12" s="32">
        <v>2</v>
      </c>
      <c r="D12" s="29">
        <v>79</v>
      </c>
      <c r="E12" s="88">
        <v>4</v>
      </c>
      <c r="F12" s="32">
        <v>2</v>
      </c>
      <c r="G12" s="29">
        <v>6</v>
      </c>
      <c r="H12" s="10">
        <f t="shared" si="2"/>
        <v>85</v>
      </c>
      <c r="I12" s="6">
        <f t="shared" si="0"/>
        <v>38636.363636363632</v>
      </c>
      <c r="J12" s="7">
        <f t="shared" si="3"/>
        <v>4.5869962448920862</v>
      </c>
      <c r="K12" s="8">
        <f t="shared" si="1"/>
        <v>7.9293185448262547E-4</v>
      </c>
    </row>
    <row r="13" spans="1:11" x14ac:dyDescent="0.25">
      <c r="A13" s="9">
        <v>5</v>
      </c>
      <c r="B13" s="88">
        <v>3</v>
      </c>
      <c r="C13" s="32">
        <v>2</v>
      </c>
      <c r="D13" s="29">
        <v>56</v>
      </c>
      <c r="E13" s="88">
        <v>4</v>
      </c>
      <c r="F13" s="32">
        <v>2</v>
      </c>
      <c r="G13" s="29">
        <v>3</v>
      </c>
      <c r="H13" s="10">
        <f t="shared" si="2"/>
        <v>59</v>
      </c>
      <c r="I13" s="6">
        <f t="shared" si="0"/>
        <v>26818.181818181816</v>
      </c>
      <c r="J13" s="7">
        <f t="shared" si="3"/>
        <v>4.4284293308199381</v>
      </c>
      <c r="K13" s="8">
        <f t="shared" si="1"/>
        <v>1.7006212134534859E-2</v>
      </c>
    </row>
    <row r="14" spans="1:11" x14ac:dyDescent="0.25">
      <c r="A14" s="9">
        <v>6</v>
      </c>
      <c r="B14" s="88">
        <v>3</v>
      </c>
      <c r="C14" s="32">
        <v>2</v>
      </c>
      <c r="D14" s="29">
        <v>84</v>
      </c>
      <c r="E14" s="88">
        <v>4</v>
      </c>
      <c r="F14" s="32">
        <v>2</v>
      </c>
      <c r="G14" s="29">
        <v>6</v>
      </c>
      <c r="H14" s="10">
        <f t="shared" si="2"/>
        <v>90</v>
      </c>
      <c r="I14" s="6">
        <f t="shared" si="0"/>
        <v>40909.090909090904</v>
      </c>
      <c r="J14" s="7">
        <f t="shared" si="3"/>
        <v>4.6118198286171186</v>
      </c>
      <c r="K14" s="8">
        <f t="shared" si="1"/>
        <v>2.8071590203160349E-3</v>
      </c>
    </row>
    <row r="15" spans="1:11" x14ac:dyDescent="0.25">
      <c r="A15" s="9">
        <v>7</v>
      </c>
      <c r="B15" s="88">
        <v>3</v>
      </c>
      <c r="C15" s="32">
        <v>2</v>
      </c>
      <c r="D15" s="29">
        <v>85</v>
      </c>
      <c r="E15" s="88">
        <v>4</v>
      </c>
      <c r="F15" s="32">
        <v>2</v>
      </c>
      <c r="G15" s="29">
        <v>8</v>
      </c>
      <c r="H15" s="10">
        <f t="shared" si="2"/>
        <v>93</v>
      </c>
      <c r="I15" s="6">
        <f t="shared" si="0"/>
        <v>42272.727272727265</v>
      </c>
      <c r="J15" s="7">
        <f t="shared" si="3"/>
        <v>4.6260602677317291</v>
      </c>
      <c r="K15" s="8">
        <f t="shared" si="1"/>
        <v>4.5189409432837774E-3</v>
      </c>
    </row>
    <row r="16" spans="1:11" x14ac:dyDescent="0.25">
      <c r="A16" s="9">
        <v>8</v>
      </c>
      <c r="B16" s="88">
        <v>3</v>
      </c>
      <c r="C16" s="32">
        <v>2</v>
      </c>
      <c r="D16" s="29">
        <v>66</v>
      </c>
      <c r="E16" s="88">
        <v>4</v>
      </c>
      <c r="F16" s="32">
        <v>2</v>
      </c>
      <c r="G16" s="29">
        <v>5</v>
      </c>
      <c r="H16" s="10">
        <f t="shared" si="2"/>
        <v>71</v>
      </c>
      <c r="I16" s="6">
        <f t="shared" si="0"/>
        <v>32272.727272727272</v>
      </c>
      <c r="J16" s="7">
        <f t="shared" si="3"/>
        <v>4.5088356678968688</v>
      </c>
      <c r="K16" s="8">
        <f t="shared" si="1"/>
        <v>2.500153132314188E-3</v>
      </c>
    </row>
    <row r="17" spans="1:11" x14ac:dyDescent="0.25">
      <c r="A17" s="9">
        <v>9</v>
      </c>
      <c r="B17" s="88">
        <v>3</v>
      </c>
      <c r="C17" s="32">
        <v>2</v>
      </c>
      <c r="D17" s="29">
        <v>80</v>
      </c>
      <c r="E17" s="88">
        <v>4</v>
      </c>
      <c r="F17" s="32">
        <v>2</v>
      </c>
      <c r="G17" s="29">
        <v>4</v>
      </c>
      <c r="H17" s="10">
        <f t="shared" si="2"/>
        <v>84</v>
      </c>
      <c r="I17" s="6">
        <f t="shared" si="0"/>
        <v>38181.818181818177</v>
      </c>
      <c r="J17" s="7">
        <f t="shared" si="3"/>
        <v>4.5818566052396754</v>
      </c>
      <c r="K17" s="8">
        <f t="shared" si="1"/>
        <v>5.298930545777293E-4</v>
      </c>
    </row>
    <row r="18" spans="1:11" x14ac:dyDescent="0.25">
      <c r="A18" s="9">
        <v>10</v>
      </c>
      <c r="B18" s="88">
        <v>3</v>
      </c>
      <c r="C18" s="32">
        <v>2</v>
      </c>
      <c r="D18" s="29">
        <v>81</v>
      </c>
      <c r="E18" s="88">
        <v>4</v>
      </c>
      <c r="F18" s="32">
        <v>2</v>
      </c>
      <c r="G18" s="29">
        <v>6</v>
      </c>
      <c r="H18" s="10">
        <f t="shared" si="2"/>
        <v>87</v>
      </c>
      <c r="I18" s="6">
        <f t="shared" si="0"/>
        <v>39545.454545454537</v>
      </c>
      <c r="J18" s="7">
        <f t="shared" si="3"/>
        <v>4.5970965717964125</v>
      </c>
      <c r="K18" s="8">
        <f t="shared" si="1"/>
        <v>1.4637795917341967E-3</v>
      </c>
    </row>
    <row r="19" spans="1:11" ht="13.8" thickBot="1" x14ac:dyDescent="0.3">
      <c r="A19" s="11">
        <v>11</v>
      </c>
      <c r="B19" s="88">
        <v>3</v>
      </c>
      <c r="C19" s="32">
        <v>2</v>
      </c>
      <c r="D19" s="30">
        <v>65</v>
      </c>
      <c r="E19" s="88">
        <v>4</v>
      </c>
      <c r="F19" s="32">
        <v>2</v>
      </c>
      <c r="G19" s="30">
        <v>3</v>
      </c>
      <c r="H19" s="12">
        <f t="shared" si="2"/>
        <v>68</v>
      </c>
      <c r="I19" s="27">
        <f t="shared" si="0"/>
        <v>30909.090909090908</v>
      </c>
      <c r="J19" s="13">
        <f t="shared" si="3"/>
        <v>4.49008623188403</v>
      </c>
      <c r="K19" s="25">
        <f t="shared" si="1"/>
        <v>4.7266955064088354E-3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36694.214876033053</v>
      </c>
      <c r="J21" s="17">
        <f>AVERAGE(J9:J19)</f>
        <v>4.5588371991965619</v>
      </c>
      <c r="K21" s="18">
        <f>SUM(K9:K19)</f>
        <v>5.6365350671100455E-2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6132.4597315537876</v>
      </c>
      <c r="J22" s="31">
        <f>STDEV(J9:J19)</f>
        <v>7.507686106324668E-2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16.712333953108296</v>
      </c>
      <c r="J23" s="19">
        <f>J22/J21*100</f>
        <v>1.6468423368239171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7.507686106324668E-2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3" sqref="B3:D3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{A3F5BA3A-87ED-4F61-95F4-7B4E76D57AEC}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3F5BA3A-87ED-4F61-95F4-7B4E76D57AE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886718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285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155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414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2</v>
      </c>
      <c r="D9" s="32">
        <v>89</v>
      </c>
      <c r="E9" s="32">
        <v>4</v>
      </c>
      <c r="F9" s="32">
        <v>2</v>
      </c>
      <c r="G9" s="32">
        <v>18</v>
      </c>
      <c r="H9" s="5">
        <f>G9+D9</f>
        <v>107</v>
      </c>
      <c r="I9" s="33">
        <f t="shared" ref="I9:I19" si="0">IF(H9&gt;29,H9/(C9+0.1*F9)*10^(B9),"")</f>
        <v>48636.363636363632</v>
      </c>
      <c r="J9" s="7">
        <f>IF(H9&gt;29,LOG10(I9),"")</f>
        <v>4.6869610968630031</v>
      </c>
      <c r="K9" s="34">
        <f t="shared" ref="K9:K19" si="1">IF(H9&gt;29,(J9-$J$21)^2,"")</f>
        <v>1.7215654334223791E-2</v>
      </c>
    </row>
    <row r="10" spans="1:11" x14ac:dyDescent="0.25">
      <c r="A10" s="9">
        <v>2</v>
      </c>
      <c r="B10" s="29">
        <v>3</v>
      </c>
      <c r="C10" s="29">
        <v>2</v>
      </c>
      <c r="D10" s="29">
        <v>135</v>
      </c>
      <c r="E10" s="29">
        <v>4</v>
      </c>
      <c r="F10" s="29">
        <v>2</v>
      </c>
      <c r="G10" s="29">
        <v>24</v>
      </c>
      <c r="H10" s="5">
        <f t="shared" ref="H10:H19" si="2">G10+D10</f>
        <v>159</v>
      </c>
      <c r="I10" s="6">
        <f t="shared" si="0"/>
        <v>72272.727272727265</v>
      </c>
      <c r="J10" s="7">
        <f t="shared" ref="J10:J19" si="3">IF(H10&gt;29,LOG10(I10),"")</f>
        <v>4.8589744434982451</v>
      </c>
      <c r="K10" s="8">
        <f t="shared" si="1"/>
        <v>1.6650405277341229E-3</v>
      </c>
    </row>
    <row r="11" spans="1:11" x14ac:dyDescent="0.25">
      <c r="A11" s="9">
        <v>3</v>
      </c>
      <c r="B11" s="29">
        <v>3</v>
      </c>
      <c r="C11" s="29">
        <v>2</v>
      </c>
      <c r="D11" s="29">
        <v>95</v>
      </c>
      <c r="E11" s="29">
        <v>4</v>
      </c>
      <c r="F11" s="29">
        <v>2</v>
      </c>
      <c r="G11" s="29">
        <v>16</v>
      </c>
      <c r="H11" s="5">
        <f>G11+D11</f>
        <v>111</v>
      </c>
      <c r="I11" s="6">
        <f>IF(H11&gt;29,H11/(C11+0.1*F11)*10^(B11),"")</f>
        <v>50454.545454545456</v>
      </c>
      <c r="J11" s="7">
        <f t="shared" si="3"/>
        <v>4.702900297964451</v>
      </c>
      <c r="K11" s="8">
        <f>IF(H11&gt;29,(J11-$J$21)^2,"")</f>
        <v>1.3286997090984506E-2</v>
      </c>
    </row>
    <row r="12" spans="1:11" x14ac:dyDescent="0.25">
      <c r="A12" s="9">
        <v>4</v>
      </c>
      <c r="B12" s="29">
        <v>3</v>
      </c>
      <c r="C12" s="29">
        <v>2</v>
      </c>
      <c r="D12" s="29">
        <v>105</v>
      </c>
      <c r="E12" s="29">
        <v>4</v>
      </c>
      <c r="F12" s="29">
        <v>2</v>
      </c>
      <c r="G12" s="29">
        <v>14</v>
      </c>
      <c r="H12" s="10">
        <f t="shared" si="2"/>
        <v>119</v>
      </c>
      <c r="I12" s="6">
        <f t="shared" si="0"/>
        <v>54090.909090909088</v>
      </c>
      <c r="J12" s="7">
        <f t="shared" si="3"/>
        <v>4.7331242805703244</v>
      </c>
      <c r="K12" s="8">
        <f t="shared" si="1"/>
        <v>7.2326953631505911E-3</v>
      </c>
    </row>
    <row r="13" spans="1:11" x14ac:dyDescent="0.25">
      <c r="A13" s="9">
        <v>5</v>
      </c>
      <c r="B13" s="29">
        <v>3</v>
      </c>
      <c r="C13" s="29">
        <v>2</v>
      </c>
      <c r="D13" s="29">
        <v>113</v>
      </c>
      <c r="E13" s="29">
        <v>4</v>
      </c>
      <c r="F13" s="29">
        <v>2</v>
      </c>
      <c r="G13" s="29">
        <v>12</v>
      </c>
      <c r="H13" s="10">
        <f t="shared" si="2"/>
        <v>125</v>
      </c>
      <c r="I13" s="6">
        <f t="shared" si="0"/>
        <v>56818.181818181816</v>
      </c>
      <c r="J13" s="7">
        <f t="shared" si="3"/>
        <v>4.7544873321858505</v>
      </c>
      <c r="K13" s="8">
        <f t="shared" si="1"/>
        <v>4.0554230017948818E-3</v>
      </c>
    </row>
    <row r="14" spans="1:11" x14ac:dyDescent="0.25">
      <c r="A14" s="9">
        <v>6</v>
      </c>
      <c r="B14" s="29">
        <v>3</v>
      </c>
      <c r="C14" s="29">
        <v>2</v>
      </c>
      <c r="D14" s="29">
        <v>105</v>
      </c>
      <c r="E14" s="29">
        <v>4</v>
      </c>
      <c r="F14" s="29">
        <v>2</v>
      </c>
      <c r="G14" s="29">
        <v>9</v>
      </c>
      <c r="H14" s="10">
        <f t="shared" si="2"/>
        <v>114</v>
      </c>
      <c r="I14" s="6">
        <f t="shared" si="0"/>
        <v>51818.181818181816</v>
      </c>
      <c r="J14" s="7">
        <f t="shared" si="3"/>
        <v>4.7144821705142661</v>
      </c>
      <c r="K14" s="8">
        <f t="shared" si="1"/>
        <v>1.0751069629761507E-2</v>
      </c>
    </row>
    <row r="15" spans="1:11" x14ac:dyDescent="0.25">
      <c r="A15" s="9">
        <v>7</v>
      </c>
      <c r="B15" s="29">
        <v>3</v>
      </c>
      <c r="C15" s="29">
        <v>2</v>
      </c>
      <c r="D15" s="29">
        <v>168</v>
      </c>
      <c r="E15" s="29">
        <v>4</v>
      </c>
      <c r="F15" s="29">
        <v>2</v>
      </c>
      <c r="G15" s="29">
        <v>17</v>
      </c>
      <c r="H15" s="10">
        <f t="shared" si="2"/>
        <v>185</v>
      </c>
      <c r="I15" s="6">
        <f t="shared" si="0"/>
        <v>84090.909090909074</v>
      </c>
      <c r="J15" s="7">
        <f t="shared" si="3"/>
        <v>4.9247490475808071</v>
      </c>
      <c r="K15" s="8">
        <f t="shared" si="1"/>
        <v>1.1359192424085061E-2</v>
      </c>
    </row>
    <row r="16" spans="1:11" x14ac:dyDescent="0.25">
      <c r="A16" s="9">
        <v>8</v>
      </c>
      <c r="B16" s="29">
        <v>3</v>
      </c>
      <c r="C16" s="29">
        <v>2</v>
      </c>
      <c r="D16" s="29">
        <v>144</v>
      </c>
      <c r="E16" s="29">
        <v>4</v>
      </c>
      <c r="F16" s="29">
        <v>2</v>
      </c>
      <c r="G16" s="29">
        <v>17</v>
      </c>
      <c r="H16" s="10">
        <f t="shared" si="2"/>
        <v>161</v>
      </c>
      <c r="I16" s="6">
        <f t="shared" si="0"/>
        <v>73181.818181818177</v>
      </c>
      <c r="J16" s="7">
        <f t="shared" si="3"/>
        <v>4.8644031952096434</v>
      </c>
      <c r="K16" s="8">
        <f t="shared" si="1"/>
        <v>2.1375513025979507E-3</v>
      </c>
    </row>
    <row r="17" spans="1:11" x14ac:dyDescent="0.25">
      <c r="A17" s="9">
        <v>9</v>
      </c>
      <c r="B17" s="29">
        <v>3</v>
      </c>
      <c r="C17" s="29">
        <v>2</v>
      </c>
      <c r="D17" s="29">
        <v>170</v>
      </c>
      <c r="E17" s="29">
        <v>4</v>
      </c>
      <c r="F17" s="29">
        <v>2</v>
      </c>
      <c r="G17" s="29">
        <v>21</v>
      </c>
      <c r="H17" s="10">
        <f t="shared" si="2"/>
        <v>191</v>
      </c>
      <c r="I17" s="6">
        <f t="shared" si="0"/>
        <v>86818.181818181809</v>
      </c>
      <c r="J17" s="7">
        <f t="shared" si="3"/>
        <v>4.9386106864255215</v>
      </c>
      <c r="K17" s="8">
        <f t="shared" si="1"/>
        <v>1.4506070868699372E-2</v>
      </c>
    </row>
    <row r="18" spans="1:11" x14ac:dyDescent="0.25">
      <c r="A18" s="9">
        <v>10</v>
      </c>
      <c r="B18" s="29">
        <v>3</v>
      </c>
      <c r="C18" s="29">
        <v>2</v>
      </c>
      <c r="D18" s="29">
        <v>142</v>
      </c>
      <c r="E18" s="29">
        <v>4</v>
      </c>
      <c r="F18" s="29">
        <v>2</v>
      </c>
      <c r="G18" s="29">
        <v>25</v>
      </c>
      <c r="H18" s="10">
        <f t="shared" si="2"/>
        <v>167</v>
      </c>
      <c r="I18" s="6">
        <f t="shared" si="0"/>
        <v>75909.090909090912</v>
      </c>
      <c r="J18" s="7">
        <f t="shared" si="3"/>
        <v>4.8802937903253767</v>
      </c>
      <c r="K18" s="8">
        <f t="shared" si="1"/>
        <v>3.8594230543385695E-3</v>
      </c>
    </row>
    <row r="19" spans="1:11" ht="13.8" thickBot="1" x14ac:dyDescent="0.3">
      <c r="A19" s="11">
        <v>11</v>
      </c>
      <c r="B19" s="30">
        <v>3</v>
      </c>
      <c r="C19" s="30">
        <v>2</v>
      </c>
      <c r="D19" s="30">
        <v>166</v>
      </c>
      <c r="E19" s="30">
        <v>4</v>
      </c>
      <c r="F19" s="30">
        <v>2</v>
      </c>
      <c r="G19" s="30">
        <v>26</v>
      </c>
      <c r="H19" s="12">
        <f t="shared" si="2"/>
        <v>192</v>
      </c>
      <c r="I19" s="27">
        <f t="shared" si="0"/>
        <v>87272.727272727265</v>
      </c>
      <c r="J19" s="13">
        <f t="shared" si="3"/>
        <v>4.9408785478813435</v>
      </c>
      <c r="K19" s="25">
        <f t="shared" si="1"/>
        <v>1.5057501752650583E-2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67396.694214876028</v>
      </c>
      <c r="J21" s="17">
        <f>AVERAGE(J9:J19)</f>
        <v>4.8181695353653486</v>
      </c>
      <c r="K21" s="18">
        <f>SUM(K9:K19)</f>
        <v>0.10112661935002093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15333.875032624759</v>
      </c>
      <c r="J22" s="31">
        <f>STDEV(J9:J19)</f>
        <v>0.10056173196103026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22.751672335347589</v>
      </c>
      <c r="J23" s="19">
        <f>J22/J21*100</f>
        <v>2.0871356066428852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0.10056173196103026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{A1AB1BE3-1E37-4321-9917-128A212B9486}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1AB1BE3-1E37-4321-9917-128A212B948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1093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285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155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159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1</v>
      </c>
      <c r="C9" s="32">
        <v>2</v>
      </c>
      <c r="D9" s="32">
        <v>276</v>
      </c>
      <c r="E9" s="32">
        <v>2</v>
      </c>
      <c r="F9" s="32">
        <v>2</v>
      </c>
      <c r="G9" s="32">
        <v>27</v>
      </c>
      <c r="H9" s="5">
        <f>G9+D9</f>
        <v>303</v>
      </c>
      <c r="I9" s="33">
        <f t="shared" ref="I9:I19" si="0">IF(H9&gt;29,H9/(C9+0.1*F9)*10^(B9),"")</f>
        <v>1377.2727272727273</v>
      </c>
      <c r="J9" s="7">
        <f>IF(H9&gt;29,LOG10(I9),"")</f>
        <v>3.1390199476800986</v>
      </c>
      <c r="K9" s="34">
        <f t="shared" ref="K9:K19" si="1">IF(H9&gt;29,(J9-$J$21)^2,"")</f>
        <v>4.9749496632740401E-3</v>
      </c>
    </row>
    <row r="10" spans="1:11" x14ac:dyDescent="0.25">
      <c r="A10" s="9">
        <v>2</v>
      </c>
      <c r="B10" s="29">
        <v>1</v>
      </c>
      <c r="C10" s="29">
        <v>2</v>
      </c>
      <c r="D10" s="29">
        <v>271</v>
      </c>
      <c r="E10" s="29">
        <v>2</v>
      </c>
      <c r="F10" s="29">
        <v>2</v>
      </c>
      <c r="G10" s="29">
        <v>20</v>
      </c>
      <c r="H10" s="5">
        <f t="shared" ref="H10:H19" si="2">G10+D10</f>
        <v>291</v>
      </c>
      <c r="I10" s="6">
        <f t="shared" si="0"/>
        <v>1322.7272727272725</v>
      </c>
      <c r="J10" s="7">
        <f t="shared" ref="J10:J19" si="3">IF(H10&gt;29,LOG10(I10),"")</f>
        <v>3.1214703081637012</v>
      </c>
      <c r="K10" s="8">
        <f t="shared" si="1"/>
        <v>2.8072707228910527E-3</v>
      </c>
    </row>
    <row r="11" spans="1:11" x14ac:dyDescent="0.25">
      <c r="A11" s="9">
        <v>3</v>
      </c>
      <c r="B11" s="29">
        <v>1</v>
      </c>
      <c r="C11" s="29">
        <v>2</v>
      </c>
      <c r="D11" s="29">
        <v>316</v>
      </c>
      <c r="E11" s="29">
        <v>2</v>
      </c>
      <c r="F11" s="29">
        <v>2</v>
      </c>
      <c r="G11" s="29">
        <v>26</v>
      </c>
      <c r="H11" s="5">
        <f>G11+D11</f>
        <v>342</v>
      </c>
      <c r="I11" s="6">
        <f>IF(H11&gt;29,H11/(C11+0.1*F11)*10^(B11),"")</f>
        <v>1554.5454545454545</v>
      </c>
      <c r="J11" s="7">
        <f t="shared" si="3"/>
        <v>3.1916034252339287</v>
      </c>
      <c r="K11" s="8">
        <f>IF(H11&gt;29,(J11-$J$21)^2,"")</f>
        <v>1.5157746595807861E-2</v>
      </c>
    </row>
    <row r="12" spans="1:11" x14ac:dyDescent="0.25">
      <c r="A12" s="9">
        <v>4</v>
      </c>
      <c r="B12" s="29">
        <v>1</v>
      </c>
      <c r="C12" s="29">
        <v>2</v>
      </c>
      <c r="D12" s="29">
        <v>201</v>
      </c>
      <c r="E12" s="29">
        <v>2</v>
      </c>
      <c r="F12" s="29">
        <v>2</v>
      </c>
      <c r="G12" s="29">
        <v>20</v>
      </c>
      <c r="H12" s="10">
        <f t="shared" si="2"/>
        <v>221</v>
      </c>
      <c r="I12" s="6">
        <f t="shared" si="0"/>
        <v>1004.5454545454545</v>
      </c>
      <c r="J12" s="7">
        <f t="shared" si="3"/>
        <v>3.0019695928629044</v>
      </c>
      <c r="K12" s="8">
        <f t="shared" si="1"/>
        <v>4.4245155124788861E-3</v>
      </c>
    </row>
    <row r="13" spans="1:11" x14ac:dyDescent="0.25">
      <c r="A13" s="9">
        <v>5</v>
      </c>
      <c r="B13" s="29">
        <v>1</v>
      </c>
      <c r="C13" s="29">
        <v>2</v>
      </c>
      <c r="D13" s="29">
        <v>232</v>
      </c>
      <c r="E13" s="29">
        <v>2</v>
      </c>
      <c r="F13" s="29">
        <v>2</v>
      </c>
      <c r="G13" s="29">
        <v>21</v>
      </c>
      <c r="H13" s="10">
        <f t="shared" si="2"/>
        <v>253</v>
      </c>
      <c r="I13" s="6">
        <f t="shared" si="0"/>
        <v>1149.9999999999998</v>
      </c>
      <c r="J13" s="7">
        <f t="shared" si="3"/>
        <v>3.0606978403536118</v>
      </c>
      <c r="K13" s="8">
        <f t="shared" si="1"/>
        <v>6.0665160196631543E-5</v>
      </c>
    </row>
    <row r="14" spans="1:11" x14ac:dyDescent="0.25">
      <c r="A14" s="9">
        <v>6</v>
      </c>
      <c r="B14" s="29">
        <v>1</v>
      </c>
      <c r="C14" s="29">
        <v>2</v>
      </c>
      <c r="D14" s="29">
        <v>309</v>
      </c>
      <c r="E14" s="29">
        <v>2</v>
      </c>
      <c r="F14" s="29">
        <v>2</v>
      </c>
      <c r="G14" s="29">
        <v>44</v>
      </c>
      <c r="H14" s="10">
        <f t="shared" si="2"/>
        <v>353</v>
      </c>
      <c r="I14" s="6">
        <f t="shared" si="0"/>
        <v>1604.5454545454545</v>
      </c>
      <c r="J14" s="7">
        <f t="shared" si="3"/>
        <v>3.2053520245656162</v>
      </c>
      <c r="K14" s="8">
        <f t="shared" si="1"/>
        <v>1.8732137704939249E-2</v>
      </c>
    </row>
    <row r="15" spans="1:11" x14ac:dyDescent="0.25">
      <c r="A15" s="9">
        <v>7</v>
      </c>
      <c r="B15" s="29">
        <v>1</v>
      </c>
      <c r="C15" s="29">
        <v>2</v>
      </c>
      <c r="D15" s="29">
        <v>284</v>
      </c>
      <c r="E15" s="29">
        <v>2</v>
      </c>
      <c r="F15" s="29">
        <v>2</v>
      </c>
      <c r="G15" s="29">
        <v>40</v>
      </c>
      <c r="H15" s="10">
        <f t="shared" si="2"/>
        <v>324</v>
      </c>
      <c r="I15" s="6">
        <f t="shared" si="0"/>
        <v>1472.7272727272725</v>
      </c>
      <c r="J15" s="7">
        <f t="shared" si="3"/>
        <v>3.1681223293844059</v>
      </c>
      <c r="K15" s="8">
        <f t="shared" si="1"/>
        <v>9.9272736658404855E-3</v>
      </c>
    </row>
    <row r="16" spans="1:11" x14ac:dyDescent="0.25">
      <c r="A16" s="9">
        <v>8</v>
      </c>
      <c r="B16" s="29">
        <v>1</v>
      </c>
      <c r="C16" s="29">
        <v>2</v>
      </c>
      <c r="D16" s="29">
        <v>278</v>
      </c>
      <c r="E16" s="29">
        <v>2</v>
      </c>
      <c r="F16" s="29">
        <v>2</v>
      </c>
      <c r="G16" s="29">
        <v>39</v>
      </c>
      <c r="H16" s="10">
        <f t="shared" si="2"/>
        <v>317</v>
      </c>
      <c r="I16" s="6">
        <f t="shared" si="0"/>
        <v>1440.9090909090905</v>
      </c>
      <c r="J16" s="7">
        <f t="shared" si="3"/>
        <v>3.158636581395545</v>
      </c>
      <c r="K16" s="8">
        <f t="shared" si="1"/>
        <v>8.1270147083885198E-3</v>
      </c>
    </row>
    <row r="17" spans="1:11" x14ac:dyDescent="0.25">
      <c r="A17" s="9">
        <v>9</v>
      </c>
      <c r="B17" s="29">
        <v>1</v>
      </c>
      <c r="C17" s="29">
        <v>2</v>
      </c>
      <c r="D17" s="29">
        <v>146</v>
      </c>
      <c r="E17" s="29">
        <v>2</v>
      </c>
      <c r="F17" s="29">
        <v>2</v>
      </c>
      <c r="G17" s="29">
        <v>21</v>
      </c>
      <c r="H17" s="10">
        <f t="shared" si="2"/>
        <v>167</v>
      </c>
      <c r="I17" s="6">
        <f t="shared" si="0"/>
        <v>759.09090909090901</v>
      </c>
      <c r="J17" s="7">
        <f t="shared" si="3"/>
        <v>2.8802937903253771</v>
      </c>
      <c r="K17" s="8">
        <f t="shared" si="1"/>
        <v>3.5416542876177889E-2</v>
      </c>
    </row>
    <row r="18" spans="1:11" x14ac:dyDescent="0.25">
      <c r="A18" s="9">
        <v>10</v>
      </c>
      <c r="B18" s="29">
        <v>1</v>
      </c>
      <c r="C18" s="29">
        <v>2</v>
      </c>
      <c r="D18" s="29">
        <v>197</v>
      </c>
      <c r="E18" s="29">
        <v>2</v>
      </c>
      <c r="F18" s="29">
        <v>2</v>
      </c>
      <c r="G18" s="29">
        <v>29</v>
      </c>
      <c r="H18" s="10">
        <f t="shared" si="2"/>
        <v>226</v>
      </c>
      <c r="I18" s="6">
        <f t="shared" si="0"/>
        <v>1027.2727272727273</v>
      </c>
      <c r="J18" s="7">
        <f t="shared" si="3"/>
        <v>3.0116857583251946</v>
      </c>
      <c r="K18" s="8">
        <f t="shared" si="1"/>
        <v>3.2263384107340332E-3</v>
      </c>
    </row>
    <row r="19" spans="1:11" ht="13.8" thickBot="1" x14ac:dyDescent="0.3">
      <c r="A19" s="11">
        <v>11</v>
      </c>
      <c r="B19" s="30">
        <v>1</v>
      </c>
      <c r="C19" s="30">
        <v>2</v>
      </c>
      <c r="D19" s="30">
        <v>129</v>
      </c>
      <c r="E19" s="30">
        <v>2</v>
      </c>
      <c r="F19" s="30">
        <v>1</v>
      </c>
      <c r="G19" s="30">
        <v>8</v>
      </c>
      <c r="H19" s="12">
        <f t="shared" si="2"/>
        <v>137</v>
      </c>
      <c r="I19" s="27">
        <f t="shared" si="0"/>
        <v>652.38095238095241</v>
      </c>
      <c r="J19" s="13">
        <f t="shared" si="3"/>
        <v>2.8145012724224876</v>
      </c>
      <c r="K19" s="25">
        <f t="shared" si="1"/>
        <v>6.4508559125947468E-2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1215.0924832743012</v>
      </c>
      <c r="J21" s="17">
        <f>AVERAGE(J9:J19)</f>
        <v>3.0684866246102613</v>
      </c>
      <c r="K21" s="18">
        <f>SUM(K9:K19)</f>
        <v>0.16736301414667612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321.02702177368292</v>
      </c>
      <c r="J22" s="31">
        <f>STDEV(J9:J19)</f>
        <v>0.12936885797852438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26.419966067818446</v>
      </c>
      <c r="J23" s="19">
        <f>J22/J21*100</f>
        <v>4.2160476418878297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0.12936885797852438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29" spans="1:11" x14ac:dyDescent="0.25">
      <c r="J29" s="151"/>
    </row>
    <row r="30" spans="1:11" x14ac:dyDescent="0.25">
      <c r="A30" t="s">
        <v>102</v>
      </c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{9B9E3996-F8F8-4897-8BA2-ED44ACEFFA81}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B9E3996-F8F8-4897-8BA2-ED44ACEFFA8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45"/>
  <sheetViews>
    <sheetView zoomScale="80" zoomScaleNormal="80" workbookViewId="0">
      <selection activeCell="L36" sqref="L36:M36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4.44140625" style="38" customWidth="1"/>
    <col min="13" max="13" width="26.33203125" style="38" customWidth="1"/>
    <col min="14" max="14" width="20.441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283</v>
      </c>
      <c r="C3" s="208"/>
      <c r="D3" s="209"/>
      <c r="F3" s="38" t="s">
        <v>116</v>
      </c>
    </row>
    <row r="4" spans="1:14" x14ac:dyDescent="0.25">
      <c r="A4" s="1" t="s">
        <v>92</v>
      </c>
      <c r="B4" s="207" t="s">
        <v>156</v>
      </c>
      <c r="C4" s="208"/>
      <c r="D4" s="209"/>
      <c r="F4" s="210" t="s">
        <v>160</v>
      </c>
      <c r="G4" s="211"/>
      <c r="H4" s="211"/>
      <c r="I4" s="212"/>
    </row>
    <row r="5" spans="1:14" x14ac:dyDescent="0.25">
      <c r="A5" s="24" t="s">
        <v>94</v>
      </c>
      <c r="B5" s="207" t="s">
        <v>40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41</v>
      </c>
      <c r="B9" s="49">
        <v>1</v>
      </c>
      <c r="C9" s="50">
        <v>4</v>
      </c>
      <c r="D9" s="50">
        <v>2</v>
      </c>
      <c r="E9" s="50">
        <v>92</v>
      </c>
      <c r="F9" s="50"/>
      <c r="G9" s="50"/>
      <c r="H9" s="50"/>
      <c r="I9" s="51">
        <f>H9+E9</f>
        <v>92</v>
      </c>
      <c r="J9" s="52">
        <f t="shared" ref="J9:J28" si="0">IF(I9&gt;29,I9/(D9+0.1*G9)*10^(C9),"")</f>
        <v>460000</v>
      </c>
      <c r="K9" s="53">
        <f>IF(I9&gt;29,LOG10(J9),"")</f>
        <v>5.6627578316815743</v>
      </c>
      <c r="L9" s="214">
        <f>IF(AND(I9&gt;29,I10&gt;29), AVERAGE(K9:K10),"")</f>
        <v>5.8335396027321078</v>
      </c>
      <c r="M9" s="216">
        <f>IF(AND(I9&gt;29,I10&gt;29),(K9-L9)^2,"")</f>
        <v>2.916641332315684E-2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4</v>
      </c>
      <c r="D10" s="55">
        <v>2</v>
      </c>
      <c r="E10" s="55">
        <v>202</v>
      </c>
      <c r="F10" s="55"/>
      <c r="G10" s="55"/>
      <c r="H10" s="55"/>
      <c r="I10" s="56">
        <f t="shared" ref="I10:I28" si="1">H10+E10</f>
        <v>202</v>
      </c>
      <c r="J10" s="57">
        <f>IF(I10&gt;29,I10/(D10+0.1*G10)*10^(C10),"")</f>
        <v>1010000</v>
      </c>
      <c r="K10" s="58">
        <f>IF(I10&gt;29,LOG10(J10),"")</f>
        <v>6.0043213737826422</v>
      </c>
      <c r="L10" s="215"/>
      <c r="M10" s="217"/>
      <c r="N10" s="219"/>
    </row>
    <row r="11" spans="1:14" x14ac:dyDescent="0.25">
      <c r="A11" s="220" t="s">
        <v>42</v>
      </c>
      <c r="B11" s="59">
        <v>3</v>
      </c>
      <c r="C11" s="60">
        <v>3</v>
      </c>
      <c r="D11" s="60">
        <v>2</v>
      </c>
      <c r="E11" s="60">
        <v>30</v>
      </c>
      <c r="F11" s="60"/>
      <c r="G11" s="60"/>
      <c r="H11" s="60"/>
      <c r="I11" s="61">
        <f t="shared" si="1"/>
        <v>30</v>
      </c>
      <c r="J11" s="62">
        <f t="shared" si="0"/>
        <v>15000</v>
      </c>
      <c r="K11" s="63">
        <f t="shared" ref="K11:K28" si="2">IF(I11&gt;29,LOG10(J11),"")</f>
        <v>4.1760912590556813</v>
      </c>
      <c r="L11" s="214">
        <f>IF(AND(I11&gt;29,I12&gt;29), AVERAGE(K11:K12),"")</f>
        <v>4.196787601634794</v>
      </c>
      <c r="M11" s="216">
        <f>IF(AND(I11&gt;29,I12&gt;29),(K11-L11)^2,"")</f>
        <v>4.2833859615199252E-4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3</v>
      </c>
      <c r="D12" s="50">
        <v>2</v>
      </c>
      <c r="E12" s="50">
        <v>33</v>
      </c>
      <c r="F12" s="50"/>
      <c r="G12" s="50"/>
      <c r="H12" s="50"/>
      <c r="I12" s="64">
        <f t="shared" si="1"/>
        <v>33</v>
      </c>
      <c r="J12" s="57">
        <f t="shared" si="0"/>
        <v>16500</v>
      </c>
      <c r="K12" s="58">
        <f t="shared" si="2"/>
        <v>4.2174839442139067</v>
      </c>
      <c r="L12" s="215"/>
      <c r="M12" s="217"/>
      <c r="N12" s="219"/>
    </row>
    <row r="13" spans="1:14" x14ac:dyDescent="0.25">
      <c r="A13" s="220" t="s">
        <v>43</v>
      </c>
      <c r="B13" s="59">
        <v>5</v>
      </c>
      <c r="C13" s="60">
        <v>4</v>
      </c>
      <c r="D13" s="60">
        <v>2</v>
      </c>
      <c r="E13" s="60">
        <v>231</v>
      </c>
      <c r="F13" s="60"/>
      <c r="G13" s="60"/>
      <c r="H13" s="60"/>
      <c r="I13" s="61">
        <f t="shared" si="1"/>
        <v>231</v>
      </c>
      <c r="J13" s="62">
        <f t="shared" si="0"/>
        <v>1155000</v>
      </c>
      <c r="K13" s="63">
        <f t="shared" si="2"/>
        <v>6.0625819842281627</v>
      </c>
      <c r="L13" s="214">
        <f>IF(AND(I13&gt;29,I14&gt;29), AVERAGE(K13:K14),"")</f>
        <v>6.065383922987162</v>
      </c>
      <c r="M13" s="216">
        <f>IF(AND(I13&gt;29,I14&gt;29),(K13-L13)^2,"")</f>
        <v>7.8508608091822909E-6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4</v>
      </c>
      <c r="D14" s="55">
        <v>2</v>
      </c>
      <c r="E14" s="55">
        <v>234</v>
      </c>
      <c r="F14" s="55"/>
      <c r="G14" s="55"/>
      <c r="H14" s="55"/>
      <c r="I14" s="64">
        <f t="shared" si="1"/>
        <v>234</v>
      </c>
      <c r="J14" s="57">
        <f t="shared" si="0"/>
        <v>1170000</v>
      </c>
      <c r="K14" s="58">
        <f t="shared" si="2"/>
        <v>6.0681858617461613</v>
      </c>
      <c r="L14" s="215"/>
      <c r="M14" s="217"/>
      <c r="N14" s="219"/>
    </row>
    <row r="15" spans="1:14" x14ac:dyDescent="0.25">
      <c r="A15" s="220" t="s">
        <v>422</v>
      </c>
      <c r="B15" s="59">
        <v>7</v>
      </c>
      <c r="C15" s="60">
        <v>5</v>
      </c>
      <c r="D15" s="60">
        <v>2</v>
      </c>
      <c r="E15" s="60">
        <v>101</v>
      </c>
      <c r="F15" s="60"/>
      <c r="G15" s="60"/>
      <c r="H15" s="60"/>
      <c r="I15" s="61">
        <f t="shared" si="1"/>
        <v>101</v>
      </c>
      <c r="J15" s="62">
        <f t="shared" si="0"/>
        <v>5050000</v>
      </c>
      <c r="K15" s="63">
        <f t="shared" si="2"/>
        <v>6.7032913781186609</v>
      </c>
      <c r="L15" s="214">
        <f>IF(AND(I15&gt;29,I16&gt;29), AVERAGE(K15:K16),"")</f>
        <v>6.6989482885261147</v>
      </c>
      <c r="M15" s="216">
        <f>IF(AND(I15&gt;29,I16&gt;29),(K15-L15)^2,"")</f>
        <v>1.8862427208883608E-5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5</v>
      </c>
      <c r="D16" s="55">
        <v>2</v>
      </c>
      <c r="E16" s="55">
        <v>99</v>
      </c>
      <c r="F16" s="55"/>
      <c r="G16" s="55"/>
      <c r="H16" s="55"/>
      <c r="I16" s="64">
        <f t="shared" si="1"/>
        <v>99</v>
      </c>
      <c r="J16" s="57">
        <f t="shared" si="0"/>
        <v>4950000</v>
      </c>
      <c r="K16" s="58">
        <f t="shared" si="2"/>
        <v>6.6946051989335684</v>
      </c>
      <c r="L16" s="215"/>
      <c r="M16" s="217"/>
      <c r="N16" s="219"/>
    </row>
    <row r="17" spans="1:14" x14ac:dyDescent="0.25">
      <c r="A17" s="220" t="s">
        <v>45</v>
      </c>
      <c r="B17" s="59">
        <v>9</v>
      </c>
      <c r="C17" s="60">
        <v>3</v>
      </c>
      <c r="D17" s="60">
        <v>2</v>
      </c>
      <c r="E17" s="60">
        <v>261</v>
      </c>
      <c r="F17" s="60"/>
      <c r="G17" s="60"/>
      <c r="H17" s="60"/>
      <c r="I17" s="61">
        <f t="shared" si="1"/>
        <v>261</v>
      </c>
      <c r="J17" s="62">
        <f t="shared" si="0"/>
        <v>130500</v>
      </c>
      <c r="K17" s="63">
        <f t="shared" si="2"/>
        <v>5.1156105116742996</v>
      </c>
      <c r="L17" s="214">
        <f>IF(AND(I17&gt;29,I18&gt;29), AVERAGE(K17:K18),"")</f>
        <v>5.0349265105568124</v>
      </c>
      <c r="M17" s="216">
        <f>IF(AND(I17&gt;29,I18&gt;29),(K17-L17)^2,"")</f>
        <v>6.5099080363266743E-3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3</v>
      </c>
      <c r="D18" s="55">
        <v>2</v>
      </c>
      <c r="E18" s="55">
        <v>180</v>
      </c>
      <c r="F18" s="55"/>
      <c r="G18" s="55"/>
      <c r="H18" s="55"/>
      <c r="I18" s="64">
        <f t="shared" si="1"/>
        <v>180</v>
      </c>
      <c r="J18" s="57">
        <f t="shared" si="0"/>
        <v>90000</v>
      </c>
      <c r="K18" s="58">
        <f t="shared" si="2"/>
        <v>4.9542425094393252</v>
      </c>
      <c r="L18" s="215"/>
      <c r="M18" s="217"/>
      <c r="N18" s="219"/>
    </row>
    <row r="19" spans="1:14" x14ac:dyDescent="0.25">
      <c r="A19" s="220" t="s">
        <v>418</v>
      </c>
      <c r="B19" s="59">
        <v>11</v>
      </c>
      <c r="C19" s="60">
        <v>2</v>
      </c>
      <c r="D19" s="60">
        <v>2</v>
      </c>
      <c r="E19" s="60">
        <v>45</v>
      </c>
      <c r="F19" s="60">
        <v>3</v>
      </c>
      <c r="G19" s="60">
        <v>2</v>
      </c>
      <c r="H19" s="60">
        <v>3</v>
      </c>
      <c r="I19" s="61">
        <f t="shared" si="1"/>
        <v>48</v>
      </c>
      <c r="J19" s="62">
        <f t="shared" si="0"/>
        <v>2181.8181818181815</v>
      </c>
      <c r="K19" s="63">
        <f t="shared" si="2"/>
        <v>3.338818556553381</v>
      </c>
      <c r="L19" s="214">
        <f>IF(AND(I19&gt;29,I20&gt;29), AVERAGE(K19:K20),"")</f>
        <v>3.3872735630574091</v>
      </c>
      <c r="M19" s="216">
        <f>IF(AND(I19&gt;29,I20&gt;29),(K19-L19)^2,"")</f>
        <v>2.3478876553054075E-3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2</v>
      </c>
      <c r="D20" s="55">
        <v>2</v>
      </c>
      <c r="E20" s="55">
        <v>51</v>
      </c>
      <c r="F20" s="55">
        <v>3</v>
      </c>
      <c r="G20" s="55">
        <v>2</v>
      </c>
      <c r="H20" s="55">
        <v>9</v>
      </c>
      <c r="I20" s="64">
        <f t="shared" si="1"/>
        <v>60</v>
      </c>
      <c r="J20" s="57">
        <f t="shared" si="0"/>
        <v>2727.272727272727</v>
      </c>
      <c r="K20" s="58">
        <f t="shared" si="2"/>
        <v>3.4357285695614372</v>
      </c>
      <c r="L20" s="215"/>
      <c r="M20" s="217"/>
      <c r="N20" s="219"/>
    </row>
    <row r="21" spans="1:14" x14ac:dyDescent="0.25">
      <c r="A21" s="220" t="s">
        <v>47</v>
      </c>
      <c r="B21" s="59">
        <v>13</v>
      </c>
      <c r="C21" s="60">
        <v>4</v>
      </c>
      <c r="D21" s="60">
        <v>2</v>
      </c>
      <c r="E21" s="60">
        <v>76</v>
      </c>
      <c r="F21" s="60"/>
      <c r="G21" s="60"/>
      <c r="H21" s="60"/>
      <c r="I21" s="61">
        <f t="shared" si="1"/>
        <v>76</v>
      </c>
      <c r="J21" s="62">
        <f t="shared" si="0"/>
        <v>380000</v>
      </c>
      <c r="K21" s="63">
        <f t="shared" si="2"/>
        <v>5.5797835966168101</v>
      </c>
      <c r="L21" s="214">
        <f>IF(AND(I21&gt;29,I22&gt;29), AVERAGE(K21:K22),"")</f>
        <v>5.6212707141491922</v>
      </c>
      <c r="M21" s="216">
        <f>IF(AND(I21&gt;29,I22&gt;29),(K21-L21)^2,"")</f>
        <v>1.7211809211456863E-3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4</v>
      </c>
      <c r="D22" s="55">
        <v>2</v>
      </c>
      <c r="E22" s="55">
        <v>92</v>
      </c>
      <c r="F22" s="55"/>
      <c r="G22" s="55"/>
      <c r="H22" s="55"/>
      <c r="I22" s="64">
        <f t="shared" si="1"/>
        <v>92</v>
      </c>
      <c r="J22" s="57">
        <f t="shared" si="0"/>
        <v>460000</v>
      </c>
      <c r="K22" s="58">
        <f t="shared" si="2"/>
        <v>5.6627578316815743</v>
      </c>
      <c r="L22" s="215"/>
      <c r="M22" s="217"/>
      <c r="N22" s="219"/>
    </row>
    <row r="23" spans="1:14" x14ac:dyDescent="0.25">
      <c r="A23" s="220" t="s">
        <v>417</v>
      </c>
      <c r="B23" s="59">
        <v>15</v>
      </c>
      <c r="C23" s="60">
        <v>4</v>
      </c>
      <c r="D23" s="60">
        <v>2</v>
      </c>
      <c r="E23" s="60">
        <v>386</v>
      </c>
      <c r="F23" s="60">
        <v>5</v>
      </c>
      <c r="G23" s="60">
        <v>2</v>
      </c>
      <c r="H23" s="60">
        <v>40</v>
      </c>
      <c r="I23" s="61">
        <f t="shared" si="1"/>
        <v>426</v>
      </c>
      <c r="J23" s="62">
        <f t="shared" si="0"/>
        <v>1936363.6363636362</v>
      </c>
      <c r="K23" s="63">
        <f t="shared" si="2"/>
        <v>6.2869869182805127</v>
      </c>
      <c r="L23" s="214">
        <f>IF(AND(I23&gt;29,I24&gt;29), AVERAGE(K23:K24),"")</f>
        <v>6.2563829807626501</v>
      </c>
      <c r="M23" s="216">
        <f>IF(AND(I23&gt;29,I24&gt;29),(K23-L23)^2,"")</f>
        <v>9.3660099159723878E-4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4</v>
      </c>
      <c r="D24" s="55">
        <v>2</v>
      </c>
      <c r="E24" s="55">
        <v>335</v>
      </c>
      <c r="F24" s="55">
        <v>5</v>
      </c>
      <c r="G24" s="55">
        <v>2</v>
      </c>
      <c r="H24" s="55">
        <v>35</v>
      </c>
      <c r="I24" s="64">
        <f t="shared" si="1"/>
        <v>370</v>
      </c>
      <c r="J24" s="57">
        <f t="shared" si="0"/>
        <v>1681818.1818181816</v>
      </c>
      <c r="K24" s="58">
        <f t="shared" si="2"/>
        <v>6.2257790432447884</v>
      </c>
      <c r="L24" s="215"/>
      <c r="M24" s="217"/>
      <c r="N24" s="219"/>
    </row>
    <row r="25" spans="1:14" x14ac:dyDescent="0.25">
      <c r="A25" s="220" t="s">
        <v>49</v>
      </c>
      <c r="B25" s="59">
        <v>17</v>
      </c>
      <c r="C25" s="60">
        <v>2</v>
      </c>
      <c r="D25" s="60">
        <v>2</v>
      </c>
      <c r="E25" s="60">
        <v>210</v>
      </c>
      <c r="F25" s="60"/>
      <c r="G25" s="60"/>
      <c r="H25" s="60"/>
      <c r="I25" s="61">
        <f t="shared" si="1"/>
        <v>210</v>
      </c>
      <c r="J25" s="62">
        <f t="shared" si="0"/>
        <v>10500</v>
      </c>
      <c r="K25" s="63">
        <f t="shared" si="2"/>
        <v>4.0211892990699383</v>
      </c>
      <c r="L25" s="214">
        <f>IF(AND(I25&gt;29,I26&gt;29), AVERAGE(K25:K26),"")</f>
        <v>3.917051327856397</v>
      </c>
      <c r="M25" s="216">
        <f>IF(AND(I25&gt;29,I26&gt;29),(K25-L25)^2,"")</f>
        <v>1.0844717048472355E-2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2</v>
      </c>
      <c r="D26" s="55">
        <v>2</v>
      </c>
      <c r="E26" s="55">
        <v>130</v>
      </c>
      <c r="F26" s="55"/>
      <c r="G26" s="55"/>
      <c r="H26" s="55"/>
      <c r="I26" s="64">
        <f t="shared" si="1"/>
        <v>130</v>
      </c>
      <c r="J26" s="57">
        <f t="shared" si="0"/>
        <v>6500</v>
      </c>
      <c r="K26" s="58">
        <f t="shared" si="2"/>
        <v>3.8129133566428557</v>
      </c>
      <c r="L26" s="215"/>
      <c r="M26" s="217"/>
      <c r="N26" s="219"/>
    </row>
    <row r="27" spans="1:14" x14ac:dyDescent="0.25">
      <c r="A27" s="220" t="s">
        <v>50</v>
      </c>
      <c r="B27" s="49">
        <v>19</v>
      </c>
      <c r="C27" s="50">
        <v>4</v>
      </c>
      <c r="D27" s="50">
        <v>2</v>
      </c>
      <c r="E27" s="50">
        <v>66</v>
      </c>
      <c r="F27" s="50"/>
      <c r="G27" s="50"/>
      <c r="H27" s="50"/>
      <c r="I27" s="51">
        <f t="shared" si="1"/>
        <v>66</v>
      </c>
      <c r="J27" s="52">
        <f t="shared" si="0"/>
        <v>330000</v>
      </c>
      <c r="K27" s="53">
        <f t="shared" si="2"/>
        <v>5.5185139398778871</v>
      </c>
      <c r="L27" s="224">
        <f>IF(AND(I27&gt;29,I28&gt;29), AVERAGE(K27:K28),"")</f>
        <v>5.5575555177521743</v>
      </c>
      <c r="M27" s="216">
        <f>IF(AND(I27&gt;29,I28&gt;29),(K27-L27)^2,"")</f>
        <v>1.5242448029140312E-3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2</v>
      </c>
      <c r="E28" s="66">
        <v>79</v>
      </c>
      <c r="F28" s="66"/>
      <c r="G28" s="66"/>
      <c r="H28" s="66"/>
      <c r="I28" s="67">
        <f t="shared" si="1"/>
        <v>79</v>
      </c>
      <c r="J28" s="68">
        <f t="shared" si="0"/>
        <v>395000</v>
      </c>
      <c r="K28" s="69">
        <f t="shared" si="2"/>
        <v>5.5965970956264606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5.3506004663088282E-2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0.10701200932617656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0.10344660909192556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  <c r="J36" s="154"/>
      <c r="K36" s="154"/>
      <c r="L36" s="154"/>
      <c r="M36" s="154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70">
      <selection activeCell="K49" sqref="K49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20" priority="2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45"/>
  <sheetViews>
    <sheetView zoomScale="80" zoomScaleNormal="80" zoomScalePageLayoutView="60" workbookViewId="0">
      <selection activeCell="J36" sqref="J36:K36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4.88671875" style="38" customWidth="1"/>
    <col min="13" max="13" width="25.6640625" style="38" customWidth="1"/>
    <col min="14" max="14" width="19.66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283</v>
      </c>
      <c r="C3" s="208"/>
      <c r="D3" s="209"/>
      <c r="F3" s="38" t="s">
        <v>116</v>
      </c>
    </row>
    <row r="4" spans="1:14" x14ac:dyDescent="0.25">
      <c r="A4" s="1" t="s">
        <v>92</v>
      </c>
      <c r="B4" s="207" t="s">
        <v>161</v>
      </c>
      <c r="C4" s="208"/>
      <c r="D4" s="209"/>
      <c r="F4" s="210" t="s">
        <v>160</v>
      </c>
      <c r="G4" s="211"/>
      <c r="H4" s="211"/>
      <c r="I4" s="212"/>
    </row>
    <row r="5" spans="1:14" x14ac:dyDescent="0.25">
      <c r="A5" s="24" t="s">
        <v>94</v>
      </c>
      <c r="B5" s="207" t="s">
        <v>40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41</v>
      </c>
      <c r="B9" s="49">
        <v>1</v>
      </c>
      <c r="C9" s="50">
        <v>6</v>
      </c>
      <c r="D9" s="50">
        <v>2</v>
      </c>
      <c r="E9" s="50">
        <v>74</v>
      </c>
      <c r="F9" s="50"/>
      <c r="G9" s="50"/>
      <c r="H9" s="50"/>
      <c r="I9" s="51">
        <f>H9+E9</f>
        <v>74</v>
      </c>
      <c r="J9" s="52">
        <f t="shared" ref="J9:J28" si="0">IF(I9&gt;29,I9/(D9+0.1*G9)*10^(C9),"")</f>
        <v>37000000</v>
      </c>
      <c r="K9" s="53">
        <f>IF(I9&gt;29,LOG10(J9),"")</f>
        <v>7.568201724066995</v>
      </c>
      <c r="L9" s="214">
        <f>IF(AND(I9&gt;29,I10&gt;29), AVERAGE(K9:K10),"")</f>
        <v>7.6131065603620538</v>
      </c>
      <c r="M9" s="216">
        <f>IF(AND(I9&gt;29,I10&gt;29),(K9-L9)^2,"")</f>
        <v>2.0164443226860316E-3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6</v>
      </c>
      <c r="D10" s="55">
        <v>2</v>
      </c>
      <c r="E10" s="55">
        <v>91</v>
      </c>
      <c r="F10" s="55"/>
      <c r="G10" s="55"/>
      <c r="H10" s="55"/>
      <c r="I10" s="56">
        <f t="shared" ref="I10:I28" si="1">H10+E10</f>
        <v>91</v>
      </c>
      <c r="J10" s="57">
        <f>IF(I10&gt;29,I10/(D10+0.1*G10)*10^(C10),"")</f>
        <v>45500000</v>
      </c>
      <c r="K10" s="58">
        <f>IF(I10&gt;29,LOG10(J10),"")</f>
        <v>7.6580113966571126</v>
      </c>
      <c r="L10" s="215"/>
      <c r="M10" s="217"/>
      <c r="N10" s="219"/>
    </row>
    <row r="11" spans="1:14" x14ac:dyDescent="0.25">
      <c r="A11" s="220" t="s">
        <v>51</v>
      </c>
      <c r="B11" s="59">
        <v>3</v>
      </c>
      <c r="C11" s="60">
        <v>3</v>
      </c>
      <c r="D11" s="60">
        <v>2</v>
      </c>
      <c r="E11" s="60">
        <v>260</v>
      </c>
      <c r="F11" s="60"/>
      <c r="G11" s="60"/>
      <c r="H11" s="60"/>
      <c r="I11" s="61">
        <f t="shared" si="1"/>
        <v>260</v>
      </c>
      <c r="J11" s="62">
        <f t="shared" si="0"/>
        <v>130000</v>
      </c>
      <c r="K11" s="63">
        <f t="shared" ref="K11:K28" si="2">IF(I11&gt;29,LOG10(J11),"")</f>
        <v>5.1139433523068369</v>
      </c>
      <c r="L11" s="214">
        <f>IF(AND(I11&gt;29,I12&gt;29), AVERAGE(K11:K12),"")</f>
        <v>5.2330629352090998</v>
      </c>
      <c r="M11" s="216">
        <f>IF(AND(I11&gt;29,I12&gt;29),(K11-L11)^2,"")</f>
        <v>1.4189475030809078E-2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3</v>
      </c>
      <c r="D12" s="50">
        <v>2</v>
      </c>
      <c r="E12" s="50">
        <v>450</v>
      </c>
      <c r="F12" s="50"/>
      <c r="G12" s="50"/>
      <c r="H12" s="50"/>
      <c r="I12" s="64">
        <f t="shared" si="1"/>
        <v>450</v>
      </c>
      <c r="J12" s="57">
        <f t="shared" si="0"/>
        <v>225000</v>
      </c>
      <c r="K12" s="58">
        <f t="shared" si="2"/>
        <v>5.3521825181113627</v>
      </c>
      <c r="L12" s="215"/>
      <c r="M12" s="217"/>
      <c r="N12" s="219"/>
    </row>
    <row r="13" spans="1:14" x14ac:dyDescent="0.25">
      <c r="A13" s="220" t="s">
        <v>43</v>
      </c>
      <c r="B13" s="59">
        <v>5</v>
      </c>
      <c r="C13" s="60">
        <v>5</v>
      </c>
      <c r="D13" s="60">
        <v>2</v>
      </c>
      <c r="E13" s="60">
        <v>83</v>
      </c>
      <c r="F13" s="60"/>
      <c r="G13" s="60"/>
      <c r="H13" s="60"/>
      <c r="I13" s="61">
        <f t="shared" si="1"/>
        <v>83</v>
      </c>
      <c r="J13" s="62">
        <f t="shared" si="0"/>
        <v>4150000</v>
      </c>
      <c r="K13" s="63">
        <f t="shared" si="2"/>
        <v>6.6180480967120925</v>
      </c>
      <c r="L13" s="214">
        <f>IF(AND(I13&gt;29,I14&gt;29), AVERAGE(K13:K14),"")</f>
        <v>6.7052198931051734</v>
      </c>
      <c r="M13" s="216">
        <f>IF(AND(I13&gt;29,I14&gt;29),(K13-L13)^2,"")</f>
        <v>7.5989220863967562E-3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5</v>
      </c>
      <c r="D14" s="55">
        <v>2</v>
      </c>
      <c r="E14" s="55">
        <v>124</v>
      </c>
      <c r="F14" s="55"/>
      <c r="G14" s="55"/>
      <c r="H14" s="55"/>
      <c r="I14" s="64">
        <f t="shared" si="1"/>
        <v>124</v>
      </c>
      <c r="J14" s="57">
        <f t="shared" si="0"/>
        <v>6200000</v>
      </c>
      <c r="K14" s="58">
        <f t="shared" si="2"/>
        <v>6.7923916894982534</v>
      </c>
      <c r="L14" s="215"/>
      <c r="M14" s="217"/>
      <c r="N14" s="219"/>
    </row>
    <row r="15" spans="1:14" x14ac:dyDescent="0.25">
      <c r="A15" s="220" t="s">
        <v>44</v>
      </c>
      <c r="B15" s="59">
        <v>7</v>
      </c>
      <c r="C15" s="60">
        <v>5</v>
      </c>
      <c r="D15" s="60">
        <v>2</v>
      </c>
      <c r="E15" s="60">
        <v>152</v>
      </c>
      <c r="F15" s="60"/>
      <c r="G15" s="60"/>
      <c r="H15" s="60"/>
      <c r="I15" s="61">
        <f t="shared" si="1"/>
        <v>152</v>
      </c>
      <c r="J15" s="62">
        <f t="shared" si="0"/>
        <v>7600000</v>
      </c>
      <c r="K15" s="63">
        <f t="shared" si="2"/>
        <v>6.8808135922807914</v>
      </c>
      <c r="L15" s="214">
        <f>IF(AND(I15&gt;29,I16&gt;29), AVERAGE(K15:K16),"")</f>
        <v>6.8808135922807914</v>
      </c>
      <c r="M15" s="216">
        <f>IF(AND(I15&gt;29,I16&gt;29),(K15-L15)^2,"")</f>
        <v>0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5</v>
      </c>
      <c r="D16" s="55">
        <v>2</v>
      </c>
      <c r="E16" s="55">
        <v>152</v>
      </c>
      <c r="F16" s="55"/>
      <c r="G16" s="55"/>
      <c r="H16" s="55"/>
      <c r="I16" s="64">
        <f t="shared" si="1"/>
        <v>152</v>
      </c>
      <c r="J16" s="57">
        <f t="shared" si="0"/>
        <v>7600000</v>
      </c>
      <c r="K16" s="58">
        <f t="shared" si="2"/>
        <v>6.8808135922807914</v>
      </c>
      <c r="L16" s="215"/>
      <c r="M16" s="217"/>
      <c r="N16" s="219"/>
    </row>
    <row r="17" spans="1:14" x14ac:dyDescent="0.25">
      <c r="A17" s="220" t="s">
        <v>45</v>
      </c>
      <c r="B17" s="59">
        <v>9</v>
      </c>
      <c r="C17" s="60">
        <v>5</v>
      </c>
      <c r="D17" s="60">
        <v>2</v>
      </c>
      <c r="E17" s="60">
        <v>152</v>
      </c>
      <c r="F17" s="60"/>
      <c r="G17" s="60"/>
      <c r="H17" s="60"/>
      <c r="I17" s="61">
        <f t="shared" si="1"/>
        <v>152</v>
      </c>
      <c r="J17" s="62">
        <f t="shared" si="0"/>
        <v>7600000</v>
      </c>
      <c r="K17" s="63">
        <f t="shared" si="2"/>
        <v>6.8808135922807914</v>
      </c>
      <c r="L17" s="214">
        <f>IF(AND(I17&gt;29,I18&gt;29), AVERAGE(K17:K18),"")</f>
        <v>6.6393768004764144</v>
      </c>
      <c r="M17" s="216">
        <f>IF(AND(I17&gt;29,I18&gt;29),(K17-L17)^2,"")</f>
        <v>5.8291724436790052E-2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5</v>
      </c>
      <c r="D18" s="55">
        <v>2</v>
      </c>
      <c r="E18" s="55">
        <v>50</v>
      </c>
      <c r="F18" s="55"/>
      <c r="G18" s="55"/>
      <c r="H18" s="55"/>
      <c r="I18" s="64">
        <f t="shared" si="1"/>
        <v>50</v>
      </c>
      <c r="J18" s="57">
        <f t="shared" si="0"/>
        <v>2500000</v>
      </c>
      <c r="K18" s="58">
        <f t="shared" si="2"/>
        <v>6.3979400086720375</v>
      </c>
      <c r="L18" s="215"/>
      <c r="M18" s="217"/>
      <c r="N18" s="219"/>
    </row>
    <row r="19" spans="1:14" x14ac:dyDescent="0.25">
      <c r="A19" s="220" t="s">
        <v>46</v>
      </c>
      <c r="B19" s="59">
        <v>11</v>
      </c>
      <c r="C19" s="60">
        <v>4</v>
      </c>
      <c r="D19" s="60">
        <v>2</v>
      </c>
      <c r="E19" s="60">
        <v>160</v>
      </c>
      <c r="F19" s="60"/>
      <c r="G19" s="60"/>
      <c r="H19" s="60"/>
      <c r="I19" s="61">
        <f t="shared" si="1"/>
        <v>160</v>
      </c>
      <c r="J19" s="62">
        <f t="shared" si="0"/>
        <v>800000</v>
      </c>
      <c r="K19" s="63">
        <f t="shared" si="2"/>
        <v>5.9030899869919438</v>
      </c>
      <c r="L19" s="214">
        <f>IF(AND(I19&gt;29,I20&gt;29), AVERAGE(K19:K20),"")</f>
        <v>5.6505149978319906</v>
      </c>
      <c r="M19" s="216">
        <f>IF(AND(I19&gt;29,I20&gt;29),(K19-L19)^2,"")</f>
        <v>6.3794125149150449E-2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4</v>
      </c>
      <c r="D20" s="55">
        <v>2</v>
      </c>
      <c r="E20" s="55">
        <v>50</v>
      </c>
      <c r="F20" s="55"/>
      <c r="G20" s="55"/>
      <c r="H20" s="55"/>
      <c r="I20" s="64">
        <f t="shared" si="1"/>
        <v>50</v>
      </c>
      <c r="J20" s="57">
        <f t="shared" si="0"/>
        <v>250000</v>
      </c>
      <c r="K20" s="58">
        <f t="shared" si="2"/>
        <v>5.3979400086720375</v>
      </c>
      <c r="L20" s="215"/>
      <c r="M20" s="217"/>
      <c r="N20" s="219"/>
    </row>
    <row r="21" spans="1:14" x14ac:dyDescent="0.25">
      <c r="A21" s="220" t="s">
        <v>47</v>
      </c>
      <c r="B21" s="59">
        <v>13</v>
      </c>
      <c r="C21" s="60">
        <v>3</v>
      </c>
      <c r="D21" s="60">
        <v>2</v>
      </c>
      <c r="E21" s="60">
        <v>140</v>
      </c>
      <c r="F21" s="60"/>
      <c r="G21" s="60"/>
      <c r="H21" s="60"/>
      <c r="I21" s="61">
        <f t="shared" si="1"/>
        <v>140</v>
      </c>
      <c r="J21" s="62">
        <f t="shared" si="0"/>
        <v>70000</v>
      </c>
      <c r="K21" s="63">
        <f t="shared" si="2"/>
        <v>4.8450980400142569</v>
      </c>
      <c r="L21" s="214">
        <f>IF(AND(I21&gt;29,I22&gt;29), AVERAGE(K21:K22),"")</f>
        <v>4.5105946495349691</v>
      </c>
      <c r="M21" s="216">
        <f>IF(AND(I21&gt;29,I22&gt;29),(K21-L21)^2,"")</f>
        <v>0.11189251824213887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3</v>
      </c>
      <c r="D22" s="55">
        <v>2</v>
      </c>
      <c r="E22" s="55">
        <v>30</v>
      </c>
      <c r="F22" s="55"/>
      <c r="G22" s="55"/>
      <c r="H22" s="55"/>
      <c r="I22" s="64">
        <f t="shared" si="1"/>
        <v>30</v>
      </c>
      <c r="J22" s="57">
        <f t="shared" si="0"/>
        <v>15000</v>
      </c>
      <c r="K22" s="58">
        <f t="shared" si="2"/>
        <v>4.1760912590556813</v>
      </c>
      <c r="L22" s="215"/>
      <c r="M22" s="217"/>
      <c r="N22" s="219"/>
    </row>
    <row r="23" spans="1:14" x14ac:dyDescent="0.25">
      <c r="A23" s="220" t="s">
        <v>48</v>
      </c>
      <c r="B23" s="59">
        <v>15</v>
      </c>
      <c r="C23" s="60">
        <v>6</v>
      </c>
      <c r="D23" s="60">
        <v>2</v>
      </c>
      <c r="E23" s="60">
        <v>112</v>
      </c>
      <c r="F23" s="60"/>
      <c r="G23" s="60"/>
      <c r="H23" s="60"/>
      <c r="I23" s="61">
        <f t="shared" si="1"/>
        <v>112</v>
      </c>
      <c r="J23" s="62">
        <f t="shared" si="0"/>
        <v>56000000</v>
      </c>
      <c r="K23" s="63">
        <f t="shared" si="2"/>
        <v>7.7481880270062007</v>
      </c>
      <c r="L23" s="214">
        <f>IF(AND(I23&gt;29,I24&gt;29), AVERAGE(K23:K24),"")</f>
        <v>7.7966430335102288</v>
      </c>
      <c r="M23" s="216">
        <f>IF(AND(I23&gt;29,I24&gt;29),(K23-L23)^2,"")</f>
        <v>2.3478876553054075E-3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6</v>
      </c>
      <c r="D24" s="55">
        <v>2</v>
      </c>
      <c r="E24" s="55">
        <v>140</v>
      </c>
      <c r="F24" s="55"/>
      <c r="G24" s="55"/>
      <c r="H24" s="55"/>
      <c r="I24" s="64">
        <f t="shared" si="1"/>
        <v>140</v>
      </c>
      <c r="J24" s="57">
        <f t="shared" si="0"/>
        <v>70000000</v>
      </c>
      <c r="K24" s="58">
        <f t="shared" si="2"/>
        <v>7.8450980400142569</v>
      </c>
      <c r="L24" s="215"/>
      <c r="M24" s="217"/>
      <c r="N24" s="219"/>
    </row>
    <row r="25" spans="1:14" x14ac:dyDescent="0.25">
      <c r="A25" s="220" t="s">
        <v>49</v>
      </c>
      <c r="B25" s="59">
        <v>17</v>
      </c>
      <c r="C25" s="60">
        <v>3</v>
      </c>
      <c r="D25" s="60">
        <v>2</v>
      </c>
      <c r="E25" s="60">
        <v>180</v>
      </c>
      <c r="F25" s="60"/>
      <c r="G25" s="60"/>
      <c r="H25" s="60"/>
      <c r="I25" s="61">
        <f t="shared" si="1"/>
        <v>180</v>
      </c>
      <c r="J25" s="62">
        <f t="shared" si="0"/>
        <v>90000</v>
      </c>
      <c r="K25" s="63">
        <f t="shared" si="2"/>
        <v>4.9542425094393252</v>
      </c>
      <c r="L25" s="214">
        <f>IF(AND(I25&gt;29,I26&gt;29), AVERAGE(K25:K26),"")</f>
        <v>5.0791812460476251</v>
      </c>
      <c r="M25" s="216">
        <f>IF(AND(I25&gt;29,I26&gt;29),(K25-L25)^2,"")</f>
        <v>1.5609687905278139E-2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3</v>
      </c>
      <c r="D26" s="55">
        <v>2</v>
      </c>
      <c r="E26" s="55">
        <v>320</v>
      </c>
      <c r="F26" s="55"/>
      <c r="G26" s="55"/>
      <c r="H26" s="55"/>
      <c r="I26" s="64">
        <f t="shared" si="1"/>
        <v>320</v>
      </c>
      <c r="J26" s="57">
        <f t="shared" si="0"/>
        <v>160000</v>
      </c>
      <c r="K26" s="58">
        <f t="shared" si="2"/>
        <v>5.204119982655925</v>
      </c>
      <c r="L26" s="215"/>
      <c r="M26" s="217"/>
      <c r="N26" s="219"/>
    </row>
    <row r="27" spans="1:14" x14ac:dyDescent="0.25">
      <c r="A27" s="220" t="s">
        <v>50</v>
      </c>
      <c r="B27" s="49">
        <v>19</v>
      </c>
      <c r="C27" s="50">
        <v>4</v>
      </c>
      <c r="D27" s="50">
        <v>2</v>
      </c>
      <c r="E27" s="50">
        <v>35</v>
      </c>
      <c r="F27" s="50"/>
      <c r="G27" s="50"/>
      <c r="H27" s="50"/>
      <c r="I27" s="51">
        <f t="shared" si="1"/>
        <v>35</v>
      </c>
      <c r="J27" s="52">
        <f t="shared" si="0"/>
        <v>175000</v>
      </c>
      <c r="K27" s="53">
        <f t="shared" si="2"/>
        <v>5.2430380486862944</v>
      </c>
      <c r="L27" s="224">
        <f>IF(AND(I27&gt;29,I28&gt;29), AVERAGE(K27:K28),"")</f>
        <v>5.2095646538709879</v>
      </c>
      <c r="M27" s="216">
        <f>IF(AND(I27&gt;29,I28&gt;29),(K27-L27)^2,"")</f>
        <v>1.1204681604613904E-3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2</v>
      </c>
      <c r="E28" s="66">
        <v>30</v>
      </c>
      <c r="F28" s="66"/>
      <c r="G28" s="66"/>
      <c r="H28" s="66"/>
      <c r="I28" s="67">
        <f t="shared" si="1"/>
        <v>30</v>
      </c>
      <c r="J28" s="68">
        <f t="shared" si="0"/>
        <v>150000</v>
      </c>
      <c r="K28" s="69">
        <f t="shared" si="2"/>
        <v>5.1760912590556813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0.27686125298901615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0.5537225059780323</v>
      </c>
    </row>
    <row r="31" spans="1:14" ht="13.8" thickBot="1" x14ac:dyDescent="0.3">
      <c r="A31" s="222" t="s">
        <v>52</v>
      </c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0.23531309057892047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  <c r="J36" s="154"/>
      <c r="K36" s="154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  <c r="J37" s="154"/>
      <c r="K37" s="154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B4" sqref="B4:D4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19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G164"/>
  <sheetViews>
    <sheetView tabSelected="1" topLeftCell="A25" zoomScale="70" zoomScaleNormal="70" zoomScaleSheetLayoutView="50" workbookViewId="0">
      <selection activeCell="L47" sqref="L47"/>
    </sheetView>
  </sheetViews>
  <sheetFormatPr defaultColWidth="11.44140625" defaultRowHeight="13.8" x14ac:dyDescent="0.25"/>
  <cols>
    <col min="1" max="1" width="29.88671875" style="84" customWidth="1"/>
    <col min="2" max="2" width="34.88671875" style="84" customWidth="1"/>
    <col min="3" max="3" width="11.44140625" style="84"/>
    <col min="4" max="4" width="14.6640625" style="84" customWidth="1"/>
    <col min="5" max="6" width="11.44140625" style="84"/>
    <col min="7" max="7" width="14.44140625" style="84" customWidth="1"/>
    <col min="8" max="10" width="11.44140625" style="84"/>
    <col min="11" max="11" width="37.44140625" style="84" customWidth="1"/>
    <col min="12" max="14" width="11.44140625" style="84"/>
    <col min="15" max="15" width="7.44140625" style="84" customWidth="1"/>
    <col min="16" max="16" width="7.88671875" style="84" customWidth="1"/>
    <col min="17" max="18" width="11.44140625" style="84"/>
    <col min="19" max="19" width="22.6640625" style="84" customWidth="1"/>
    <col min="20" max="20" width="11.44140625" style="84"/>
    <col min="21" max="21" width="13.44140625" style="84" customWidth="1"/>
    <col min="22" max="22" width="11.44140625" style="84"/>
    <col min="23" max="23" width="8.5546875" style="84" customWidth="1"/>
    <col min="24" max="24" width="8.109375" style="84" customWidth="1"/>
    <col min="25" max="26" width="11.44140625" style="84"/>
    <col min="27" max="27" width="50.109375" style="84" customWidth="1"/>
    <col min="28" max="30" width="11.44140625" style="84"/>
    <col min="31" max="31" width="8.109375" style="84" customWidth="1"/>
    <col min="32" max="32" width="7.44140625" style="84" customWidth="1"/>
    <col min="33" max="16384" width="11.44140625" style="84"/>
  </cols>
  <sheetData>
    <row r="1" spans="1:33" ht="15.6" x14ac:dyDescent="0.3">
      <c r="A1" s="199" t="s">
        <v>409</v>
      </c>
    </row>
    <row r="3" spans="1:33" x14ac:dyDescent="0.25">
      <c r="A3" s="86"/>
      <c r="B3" s="172" t="s">
        <v>396</v>
      </c>
      <c r="C3" s="173"/>
      <c r="D3" s="173"/>
      <c r="E3" s="173"/>
      <c r="F3" s="174"/>
      <c r="G3" s="174"/>
      <c r="H3" s="145"/>
      <c r="J3" s="175" t="s">
        <v>398</v>
      </c>
      <c r="K3" s="174"/>
      <c r="L3" s="174"/>
      <c r="M3" s="174"/>
      <c r="N3" s="174"/>
      <c r="O3" s="174"/>
      <c r="P3" s="174"/>
      <c r="Q3" s="174"/>
      <c r="R3" s="173"/>
      <c r="S3" s="174"/>
      <c r="T3" s="174"/>
      <c r="U3" s="174"/>
      <c r="V3" s="174"/>
      <c r="W3" s="174"/>
      <c r="X3" s="174"/>
      <c r="Z3" s="175" t="s">
        <v>397</v>
      </c>
      <c r="AA3" s="174"/>
      <c r="AB3" s="174"/>
      <c r="AC3" s="174"/>
      <c r="AD3" s="174"/>
      <c r="AE3" s="174"/>
      <c r="AF3" s="174"/>
      <c r="AG3" s="174"/>
    </row>
    <row r="4" spans="1:33" x14ac:dyDescent="0.25">
      <c r="A4" s="86"/>
      <c r="C4" s="86"/>
      <c r="D4" s="86"/>
      <c r="E4" s="86"/>
      <c r="H4" s="145"/>
      <c r="R4" s="86"/>
    </row>
    <row r="5" spans="1:33" x14ac:dyDescent="0.25">
      <c r="A5" s="86"/>
      <c r="B5" s="198" t="s">
        <v>408</v>
      </c>
      <c r="H5" s="145"/>
      <c r="J5" s="159" t="s">
        <v>392</v>
      </c>
      <c r="R5" s="159" t="s">
        <v>389</v>
      </c>
      <c r="Z5" s="159" t="s">
        <v>371</v>
      </c>
    </row>
    <row r="6" spans="1:33" x14ac:dyDescent="0.25">
      <c r="E6" s="86"/>
      <c r="J6" s="84" t="s">
        <v>391</v>
      </c>
      <c r="R6" s="84" t="s">
        <v>390</v>
      </c>
      <c r="Z6" s="84" t="s">
        <v>405</v>
      </c>
    </row>
    <row r="7" spans="1:33" ht="16.2" x14ac:dyDescent="0.35">
      <c r="C7" s="196" t="s">
        <v>401</v>
      </c>
      <c r="D7" s="171"/>
      <c r="E7" s="171"/>
      <c r="F7" s="197"/>
      <c r="G7" s="197"/>
      <c r="H7" s="38"/>
      <c r="J7" s="38"/>
    </row>
    <row r="8" spans="1:33" s="179" customFormat="1" ht="48" customHeight="1" x14ac:dyDescent="0.25">
      <c r="A8" s="176" t="s">
        <v>399</v>
      </c>
      <c r="B8" s="182" t="s">
        <v>175</v>
      </c>
      <c r="C8" s="182" t="s">
        <v>176</v>
      </c>
      <c r="D8" s="195" t="s">
        <v>400</v>
      </c>
      <c r="E8" s="182" t="s">
        <v>159</v>
      </c>
      <c r="F8" s="182" t="s">
        <v>177</v>
      </c>
      <c r="G8" s="182" t="s">
        <v>178</v>
      </c>
      <c r="H8" s="177" t="s">
        <v>386</v>
      </c>
      <c r="I8" s="178"/>
      <c r="J8" s="180" t="s">
        <v>385</v>
      </c>
      <c r="K8" s="181" t="s">
        <v>32</v>
      </c>
      <c r="L8" s="189" t="s">
        <v>402</v>
      </c>
      <c r="M8" s="182" t="s">
        <v>403</v>
      </c>
      <c r="N8" s="182" t="s">
        <v>404</v>
      </c>
      <c r="O8" s="190" t="s">
        <v>33</v>
      </c>
      <c r="P8" s="190" t="s">
        <v>34</v>
      </c>
      <c r="R8" s="180" t="s">
        <v>385</v>
      </c>
      <c r="S8" s="181" t="s">
        <v>32</v>
      </c>
      <c r="T8" s="189" t="s">
        <v>402</v>
      </c>
      <c r="U8" s="182" t="s">
        <v>403</v>
      </c>
      <c r="V8" s="182" t="s">
        <v>404</v>
      </c>
      <c r="W8" s="190" t="s">
        <v>33</v>
      </c>
      <c r="X8" s="190" t="s">
        <v>34</v>
      </c>
      <c r="Z8" s="180" t="s">
        <v>385</v>
      </c>
      <c r="AA8" s="181" t="s">
        <v>32</v>
      </c>
      <c r="AB8" s="189" t="s">
        <v>402</v>
      </c>
      <c r="AC8" s="182" t="s">
        <v>403</v>
      </c>
      <c r="AD8" s="182" t="s">
        <v>404</v>
      </c>
      <c r="AE8" s="183" t="s">
        <v>33</v>
      </c>
      <c r="AF8" s="183" t="s">
        <v>34</v>
      </c>
      <c r="AG8" s="184" t="s">
        <v>372</v>
      </c>
    </row>
    <row r="9" spans="1:33" x14ac:dyDescent="0.25">
      <c r="A9" s="150" t="s">
        <v>288</v>
      </c>
      <c r="B9" s="163" t="s">
        <v>287</v>
      </c>
      <c r="C9" s="168">
        <v>4.3999999999999997E-2</v>
      </c>
      <c r="D9" s="168">
        <v>0.05</v>
      </c>
      <c r="E9" s="169"/>
      <c r="F9" s="169"/>
      <c r="G9" s="169"/>
      <c r="H9" s="161">
        <f t="shared" ref="H9:H22" si="0">MAX(C9:G9)</f>
        <v>0.05</v>
      </c>
      <c r="I9" s="143"/>
      <c r="J9" s="185" t="s">
        <v>21</v>
      </c>
      <c r="K9" s="185" t="s">
        <v>291</v>
      </c>
      <c r="L9" s="185">
        <v>4.3904232327170542E-2</v>
      </c>
      <c r="M9" s="185">
        <v>7.5563025007672868</v>
      </c>
      <c r="N9" s="185">
        <v>7.6901960800285138</v>
      </c>
      <c r="O9" s="169"/>
      <c r="P9" s="169" t="s">
        <v>27</v>
      </c>
      <c r="R9" s="185" t="s">
        <v>25</v>
      </c>
      <c r="S9" s="185" t="s">
        <v>357</v>
      </c>
      <c r="T9" s="191">
        <v>0.08</v>
      </c>
      <c r="U9" s="191">
        <v>4.3521825181113627</v>
      </c>
      <c r="V9" s="191">
        <v>4.6334684555795862</v>
      </c>
      <c r="W9" s="187"/>
      <c r="X9" s="187" t="s">
        <v>27</v>
      </c>
      <c r="Z9" s="185" t="s">
        <v>30</v>
      </c>
      <c r="AA9" s="185" t="s">
        <v>375</v>
      </c>
      <c r="AB9" s="186">
        <v>0.34399999999999997</v>
      </c>
      <c r="AC9" s="185">
        <v>3.496426409915049</v>
      </c>
      <c r="AD9" s="185">
        <v>4.5268090389087696</v>
      </c>
      <c r="AE9" s="187"/>
      <c r="AF9" s="187" t="s">
        <v>27</v>
      </c>
      <c r="AG9" s="185"/>
    </row>
    <row r="10" spans="1:33" x14ac:dyDescent="0.25">
      <c r="A10" s="150" t="s">
        <v>181</v>
      </c>
      <c r="B10" s="163" t="s">
        <v>212</v>
      </c>
      <c r="C10" s="168">
        <v>0.03</v>
      </c>
      <c r="D10" s="169"/>
      <c r="E10" s="169"/>
      <c r="F10" s="168">
        <v>5.0999999999999997E-2</v>
      </c>
      <c r="G10" s="169"/>
      <c r="H10" s="161">
        <f t="shared" si="0"/>
        <v>5.0999999999999997E-2</v>
      </c>
      <c r="I10" s="143"/>
      <c r="J10" s="185" t="s">
        <v>199</v>
      </c>
      <c r="K10" s="185" t="s">
        <v>290</v>
      </c>
      <c r="L10" s="185">
        <v>3.040431572983902E-2</v>
      </c>
      <c r="M10" s="185">
        <v>5.4057653461839941</v>
      </c>
      <c r="N10" s="185">
        <v>8.2430380486862944</v>
      </c>
      <c r="O10" s="169" t="s">
        <v>27</v>
      </c>
      <c r="P10" s="169"/>
      <c r="R10" s="185" t="s">
        <v>19</v>
      </c>
      <c r="S10" s="185" t="s">
        <v>362</v>
      </c>
      <c r="T10" s="191">
        <v>8.5999999999999993E-2</v>
      </c>
      <c r="U10" s="191">
        <v>4.6118198286171186</v>
      </c>
      <c r="V10" s="191">
        <v>4.9006153678640878</v>
      </c>
      <c r="W10" s="187"/>
      <c r="X10" s="187" t="s">
        <v>27</v>
      </c>
      <c r="Z10" s="185" t="s">
        <v>30</v>
      </c>
      <c r="AA10" s="185" t="s">
        <v>376</v>
      </c>
      <c r="AB10" s="186">
        <v>0.32600000000000001</v>
      </c>
      <c r="AC10" s="185">
        <v>3.5660623380564433</v>
      </c>
      <c r="AD10" s="185">
        <v>4.7312956695239166</v>
      </c>
      <c r="AE10" s="187"/>
      <c r="AF10" s="187" t="s">
        <v>27</v>
      </c>
      <c r="AG10" s="185"/>
    </row>
    <row r="11" spans="1:33" x14ac:dyDescent="0.25">
      <c r="A11" s="150" t="s">
        <v>184</v>
      </c>
      <c r="B11" s="163" t="s">
        <v>267</v>
      </c>
      <c r="C11" s="168">
        <v>5.1999999999999998E-2</v>
      </c>
      <c r="D11" s="169"/>
      <c r="E11" s="169"/>
      <c r="F11" s="169"/>
      <c r="G11" s="169"/>
      <c r="H11" s="161">
        <f t="shared" si="0"/>
        <v>5.1999999999999998E-2</v>
      </c>
      <c r="I11" s="143"/>
      <c r="J11" s="185" t="s">
        <v>293</v>
      </c>
      <c r="K11" s="185" t="s">
        <v>351</v>
      </c>
      <c r="L11" s="185">
        <v>5.1660752298852482E-2</v>
      </c>
      <c r="M11" s="185">
        <v>5.2373609157946035</v>
      </c>
      <c r="N11" s="185">
        <v>5.4057653461839941</v>
      </c>
      <c r="O11" s="169"/>
      <c r="P11" s="169" t="s">
        <v>27</v>
      </c>
      <c r="R11" s="185" t="s">
        <v>29</v>
      </c>
      <c r="S11" s="185" t="s">
        <v>352</v>
      </c>
      <c r="T11" s="191">
        <v>9.1999999999999998E-2</v>
      </c>
      <c r="U11" s="191">
        <v>3.2139602374033061</v>
      </c>
      <c r="V11" s="191">
        <v>7.5575072019056577</v>
      </c>
      <c r="W11" s="187" t="s">
        <v>27</v>
      </c>
      <c r="X11" s="187"/>
      <c r="Z11" s="185" t="s">
        <v>21</v>
      </c>
      <c r="AA11" s="185" t="s">
        <v>377</v>
      </c>
      <c r="AB11" s="186">
        <v>0.47516947268576792</v>
      </c>
      <c r="AC11" s="185">
        <v>3.2787536009528289</v>
      </c>
      <c r="AD11" s="185">
        <v>4.7442929831226763</v>
      </c>
      <c r="AE11" s="185"/>
      <c r="AF11" s="169" t="s">
        <v>27</v>
      </c>
      <c r="AG11" s="185"/>
    </row>
    <row r="12" spans="1:33" x14ac:dyDescent="0.25">
      <c r="A12" s="150" t="s">
        <v>185</v>
      </c>
      <c r="B12" s="164" t="s">
        <v>289</v>
      </c>
      <c r="C12" s="168">
        <v>7.4999999999999997E-2</v>
      </c>
      <c r="D12" s="169"/>
      <c r="E12" s="169"/>
      <c r="F12" s="169"/>
      <c r="G12" s="169"/>
      <c r="H12" s="161">
        <f t="shared" si="0"/>
        <v>7.4999999999999997E-2</v>
      </c>
      <c r="I12" s="143"/>
      <c r="J12" s="185" t="s">
        <v>20</v>
      </c>
      <c r="K12" s="185" t="s">
        <v>343</v>
      </c>
      <c r="L12" s="191">
        <v>7.4999999999999997E-2</v>
      </c>
      <c r="M12" s="191">
        <v>4.4284293308199381</v>
      </c>
      <c r="N12" s="191">
        <v>4.6704145438829663</v>
      </c>
      <c r="O12" s="187"/>
      <c r="P12" s="187" t="s">
        <v>27</v>
      </c>
      <c r="R12" s="185" t="s">
        <v>24</v>
      </c>
      <c r="S12" s="185" t="s">
        <v>353</v>
      </c>
      <c r="T12" s="191">
        <v>9.6000000000000002E-2</v>
      </c>
      <c r="U12" s="191">
        <v>4.3010299956639813</v>
      </c>
      <c r="V12" s="191">
        <v>6.8692317197309762</v>
      </c>
      <c r="W12" s="187" t="s">
        <v>27</v>
      </c>
      <c r="X12" s="187"/>
      <c r="Z12" s="185" t="s">
        <v>29</v>
      </c>
      <c r="AA12" s="185" t="s">
        <v>394</v>
      </c>
      <c r="AB12" s="186">
        <v>0.21299999999999999</v>
      </c>
      <c r="AC12" s="185">
        <v>5.0963832761552474</v>
      </c>
      <c r="AD12" s="185">
        <v>5.817945793970642</v>
      </c>
      <c r="AE12" s="185"/>
      <c r="AF12" s="169" t="s">
        <v>27</v>
      </c>
      <c r="AG12" s="185"/>
    </row>
    <row r="13" spans="1:33" x14ac:dyDescent="0.25">
      <c r="A13" s="150" t="s">
        <v>183</v>
      </c>
      <c r="B13" s="163" t="s">
        <v>197</v>
      </c>
      <c r="C13" s="168">
        <v>8.5000000000000006E-2</v>
      </c>
      <c r="D13" s="169"/>
      <c r="E13" s="169"/>
      <c r="F13" s="169"/>
      <c r="G13" s="169"/>
      <c r="H13" s="161">
        <f t="shared" si="0"/>
        <v>8.5000000000000006E-2</v>
      </c>
      <c r="I13" s="143"/>
      <c r="J13" s="185" t="s">
        <v>199</v>
      </c>
      <c r="K13" s="185" t="s">
        <v>345</v>
      </c>
      <c r="L13" s="185">
        <v>8.5174826030154568E-2</v>
      </c>
      <c r="M13" s="185">
        <v>6.2138798199450811</v>
      </c>
      <c r="N13" s="185">
        <v>6.839420907122566</v>
      </c>
      <c r="O13" s="169" t="s">
        <v>27</v>
      </c>
      <c r="P13" s="169"/>
      <c r="R13" s="185" t="s">
        <v>24</v>
      </c>
      <c r="S13" s="185" t="s">
        <v>354</v>
      </c>
      <c r="T13" s="191">
        <v>0.107</v>
      </c>
      <c r="U13" s="191">
        <v>4.4313637641589869</v>
      </c>
      <c r="V13" s="191">
        <v>6.338818556553381</v>
      </c>
      <c r="W13" s="187" t="s">
        <v>27</v>
      </c>
      <c r="X13" s="169"/>
      <c r="Z13" s="185" t="s">
        <v>29</v>
      </c>
      <c r="AA13" s="185" t="s">
        <v>395</v>
      </c>
      <c r="AB13" s="186">
        <v>0.30399999999999999</v>
      </c>
      <c r="AC13" s="185">
        <v>4.9047319340589208</v>
      </c>
      <c r="AD13" s="185">
        <v>5.983913180106545</v>
      </c>
      <c r="AE13" s="185"/>
      <c r="AF13" s="169" t="s">
        <v>27</v>
      </c>
      <c r="AG13" s="169" t="s">
        <v>27</v>
      </c>
    </row>
    <row r="14" spans="1:33" x14ac:dyDescent="0.25">
      <c r="A14" s="150" t="s">
        <v>194</v>
      </c>
      <c r="B14" s="164" t="s">
        <v>194</v>
      </c>
      <c r="C14" s="168">
        <v>0.09</v>
      </c>
      <c r="D14" s="169"/>
      <c r="E14" s="169"/>
      <c r="F14" s="169"/>
      <c r="G14" s="169"/>
      <c r="H14" s="161">
        <f t="shared" si="0"/>
        <v>0.09</v>
      </c>
      <c r="I14" s="143"/>
      <c r="J14" s="185" t="s">
        <v>21</v>
      </c>
      <c r="K14" s="185" t="s">
        <v>344</v>
      </c>
      <c r="L14" s="185">
        <v>8.962126710473961E-2</v>
      </c>
      <c r="M14" s="185">
        <v>5.0136031763709168</v>
      </c>
      <c r="N14" s="185">
        <v>5.338818556553381</v>
      </c>
      <c r="O14" s="169"/>
      <c r="P14" s="169" t="s">
        <v>27</v>
      </c>
      <c r="R14" s="185" t="s">
        <v>22</v>
      </c>
      <c r="S14" s="192" t="s">
        <v>364</v>
      </c>
      <c r="T14" s="185">
        <v>0.10299999999999999</v>
      </c>
      <c r="U14" s="185">
        <v>3.338818556553381</v>
      </c>
      <c r="V14" s="185">
        <v>6.7032913781186609</v>
      </c>
      <c r="W14" s="187" t="s">
        <v>27</v>
      </c>
      <c r="X14" s="187"/>
      <c r="Z14" s="185" t="s">
        <v>29</v>
      </c>
      <c r="AA14" s="185" t="s">
        <v>373</v>
      </c>
      <c r="AB14" s="186">
        <v>7.1999999999999995E-2</v>
      </c>
      <c r="AC14" s="185">
        <v>5.1890562362200487</v>
      </c>
      <c r="AD14" s="185">
        <v>5.4592096654109605</v>
      </c>
      <c r="AE14" s="185"/>
      <c r="AF14" s="169" t="s">
        <v>27</v>
      </c>
      <c r="AG14" s="169" t="s">
        <v>27</v>
      </c>
    </row>
    <row r="15" spans="1:33" x14ac:dyDescent="0.25">
      <c r="A15" s="150" t="s">
        <v>186</v>
      </c>
      <c r="B15" s="164" t="s">
        <v>278</v>
      </c>
      <c r="C15" s="168">
        <v>9.0999999999999998E-2</v>
      </c>
      <c r="D15" s="169"/>
      <c r="E15" s="169"/>
      <c r="F15" s="168">
        <v>0.08</v>
      </c>
      <c r="G15" s="169"/>
      <c r="H15" s="161">
        <f t="shared" si="0"/>
        <v>9.0999999999999998E-2</v>
      </c>
      <c r="I15" s="143"/>
      <c r="J15" s="185" t="s">
        <v>25</v>
      </c>
      <c r="K15" s="185" t="s">
        <v>347</v>
      </c>
      <c r="L15" s="191">
        <v>9.0999999999999998E-2</v>
      </c>
      <c r="M15" s="191">
        <v>5.8724211672254913</v>
      </c>
      <c r="N15" s="191">
        <v>6.1303337684950066</v>
      </c>
      <c r="O15" s="187"/>
      <c r="P15" s="187" t="s">
        <v>27</v>
      </c>
      <c r="R15" s="185" t="s">
        <v>21</v>
      </c>
      <c r="S15" s="185" t="s">
        <v>382</v>
      </c>
      <c r="T15" s="185">
        <v>0.129</v>
      </c>
      <c r="U15" s="185">
        <v>2.8145012724224876</v>
      </c>
      <c r="V15" s="185">
        <v>3.2053520245656162</v>
      </c>
      <c r="W15" s="187"/>
      <c r="X15" s="169" t="s">
        <v>27</v>
      </c>
      <c r="Z15" s="185" t="s">
        <v>29</v>
      </c>
      <c r="AA15" s="185" t="s">
        <v>374</v>
      </c>
      <c r="AB15" s="186">
        <v>9.1999999999999998E-2</v>
      </c>
      <c r="AC15" s="185">
        <v>5.2218487496163561</v>
      </c>
      <c r="AD15" s="185">
        <v>5.5818566052396754</v>
      </c>
      <c r="AE15" s="185"/>
      <c r="AF15" s="169" t="s">
        <v>27</v>
      </c>
      <c r="AG15" s="169"/>
    </row>
    <row r="16" spans="1:33" x14ac:dyDescent="0.25">
      <c r="A16" s="150" t="s">
        <v>182</v>
      </c>
      <c r="B16" s="163" t="s">
        <v>272</v>
      </c>
      <c r="C16" s="168">
        <v>8.7999999999999995E-2</v>
      </c>
      <c r="D16" s="168">
        <v>6.6000000000000003E-2</v>
      </c>
      <c r="E16" s="168">
        <v>9.7000000000000003E-2</v>
      </c>
      <c r="F16" s="169"/>
      <c r="G16" s="169"/>
      <c r="H16" s="161">
        <f t="shared" si="0"/>
        <v>9.7000000000000003E-2</v>
      </c>
      <c r="I16" s="143"/>
      <c r="J16" s="185" t="s">
        <v>29</v>
      </c>
      <c r="K16" s="185" t="s">
        <v>348</v>
      </c>
      <c r="L16" s="191">
        <v>9.6000000000000002E-2</v>
      </c>
      <c r="M16" s="191">
        <v>5.8616973018337184</v>
      </c>
      <c r="N16" s="191">
        <v>7.9970950093565927</v>
      </c>
      <c r="O16" s="187" t="s">
        <v>27</v>
      </c>
      <c r="P16" s="187"/>
      <c r="R16" s="185" t="s">
        <v>199</v>
      </c>
      <c r="S16" s="185" t="s">
        <v>359</v>
      </c>
      <c r="T16" s="185">
        <v>8.5991418532441702E-2</v>
      </c>
      <c r="U16" s="185">
        <v>3.6704145438829658</v>
      </c>
      <c r="V16" s="185">
        <v>4.4357285695614372</v>
      </c>
      <c r="W16" s="169" t="s">
        <v>27</v>
      </c>
      <c r="X16" s="169"/>
      <c r="Z16" s="185" t="s">
        <v>29</v>
      </c>
      <c r="AA16" s="185" t="s">
        <v>378</v>
      </c>
      <c r="AB16" s="188">
        <v>0.44500000000000001</v>
      </c>
      <c r="AC16" s="185">
        <v>4.2876660341059996</v>
      </c>
      <c r="AD16" s="185">
        <v>5.7132104434506292</v>
      </c>
      <c r="AE16" s="185"/>
      <c r="AF16" s="169" t="s">
        <v>27</v>
      </c>
      <c r="AG16" s="169"/>
    </row>
    <row r="17" spans="1:33" x14ac:dyDescent="0.25">
      <c r="A17" s="150" t="s">
        <v>187</v>
      </c>
      <c r="B17" s="164" t="s">
        <v>280</v>
      </c>
      <c r="C17" s="168">
        <v>7.5999999999999998E-2</v>
      </c>
      <c r="D17" s="168">
        <v>9.6000000000000002E-2</v>
      </c>
      <c r="E17" s="168">
        <v>0.107</v>
      </c>
      <c r="F17" s="169"/>
      <c r="G17" s="169"/>
      <c r="H17" s="161">
        <f t="shared" si="0"/>
        <v>0.107</v>
      </c>
      <c r="I17" s="143"/>
      <c r="J17" s="185" t="s">
        <v>199</v>
      </c>
      <c r="K17" s="185" t="s">
        <v>349</v>
      </c>
      <c r="L17" s="185">
        <v>8.7770965074463927E-2</v>
      </c>
      <c r="M17" s="185">
        <v>5.2486419262042929</v>
      </c>
      <c r="N17" s="185">
        <v>7.4357285695614372</v>
      </c>
      <c r="O17" s="169" t="s">
        <v>27</v>
      </c>
      <c r="P17" s="169"/>
      <c r="R17" s="185" t="s">
        <v>199</v>
      </c>
      <c r="S17" s="185" t="s">
        <v>360</v>
      </c>
      <c r="T17" s="185">
        <v>0.10732985619579158</v>
      </c>
      <c r="U17" s="185">
        <v>3.3477733992063072</v>
      </c>
      <c r="V17" s="185">
        <v>5.4284293308199381</v>
      </c>
      <c r="W17" s="169" t="s">
        <v>27</v>
      </c>
      <c r="X17" s="169"/>
      <c r="Z17" s="185" t="s">
        <v>29</v>
      </c>
      <c r="AA17" s="185" t="s">
        <v>379</v>
      </c>
      <c r="AB17" s="188">
        <v>0.1</v>
      </c>
      <c r="AC17" s="185">
        <v>4.4005641524981867</v>
      </c>
      <c r="AD17" s="185">
        <v>4.7602396610749418</v>
      </c>
      <c r="AE17" s="185"/>
      <c r="AF17" s="169" t="s">
        <v>27</v>
      </c>
      <c r="AG17" s="169" t="s">
        <v>27</v>
      </c>
    </row>
    <row r="18" spans="1:33" x14ac:dyDescent="0.25">
      <c r="A18" s="150" t="s">
        <v>180</v>
      </c>
      <c r="B18" s="163" t="s">
        <v>249</v>
      </c>
      <c r="C18" s="168">
        <v>9.4E-2</v>
      </c>
      <c r="D18" s="168">
        <v>8.5999999999999993E-2</v>
      </c>
      <c r="E18" s="168">
        <v>0.107</v>
      </c>
      <c r="F18" s="169"/>
      <c r="G18" s="169"/>
      <c r="H18" s="161">
        <f t="shared" si="0"/>
        <v>0.107</v>
      </c>
      <c r="I18" s="143"/>
      <c r="J18" s="185" t="s">
        <v>24</v>
      </c>
      <c r="K18" s="185" t="s">
        <v>350</v>
      </c>
      <c r="L18" s="191">
        <v>7.5999999999999998E-2</v>
      </c>
      <c r="M18" s="194">
        <v>6.4842998393467859</v>
      </c>
      <c r="N18" s="194">
        <v>9.0453229787866576</v>
      </c>
      <c r="O18" s="187" t="s">
        <v>27</v>
      </c>
      <c r="P18" s="169"/>
      <c r="R18" s="193" t="s">
        <v>199</v>
      </c>
      <c r="S18" s="185" t="s">
        <v>355</v>
      </c>
      <c r="T18" s="185">
        <v>6.6139291443514367E-2</v>
      </c>
      <c r="U18" s="185">
        <v>3.3010299956639813</v>
      </c>
      <c r="V18" s="185">
        <v>5.4637572931616809</v>
      </c>
      <c r="W18" s="169" t="s">
        <v>27</v>
      </c>
      <c r="X18" s="169"/>
    </row>
    <row r="19" spans="1:33" x14ac:dyDescent="0.25">
      <c r="A19" s="150" t="s">
        <v>384</v>
      </c>
      <c r="B19" s="163" t="s">
        <v>383</v>
      </c>
      <c r="C19" s="168">
        <v>0.109</v>
      </c>
      <c r="D19" s="169"/>
      <c r="E19" s="169"/>
      <c r="F19" s="169"/>
      <c r="G19" s="169"/>
      <c r="H19" s="161">
        <f t="shared" si="0"/>
        <v>0.109</v>
      </c>
      <c r="I19" s="143"/>
      <c r="J19" s="185" t="s">
        <v>199</v>
      </c>
      <c r="K19" s="185" t="s">
        <v>358</v>
      </c>
      <c r="L19" s="185">
        <v>9.4395176821099977E-2</v>
      </c>
      <c r="M19" s="185">
        <v>5.2910457747573805</v>
      </c>
      <c r="N19" s="185">
        <v>6.4499690086760477</v>
      </c>
      <c r="O19" s="169" t="s">
        <v>27</v>
      </c>
      <c r="P19" s="169"/>
      <c r="R19" s="193" t="s">
        <v>199</v>
      </c>
      <c r="S19" s="185" t="s">
        <v>356</v>
      </c>
      <c r="T19" s="185">
        <v>9.7012094699740758E-2</v>
      </c>
      <c r="U19" s="185">
        <v>3.1829306835859867</v>
      </c>
      <c r="V19" s="185">
        <v>5.5920757704213617</v>
      </c>
      <c r="W19" s="169" t="s">
        <v>27</v>
      </c>
      <c r="X19" s="169"/>
    </row>
    <row r="20" spans="1:33" x14ac:dyDescent="0.25">
      <c r="A20" s="150" t="s">
        <v>188</v>
      </c>
      <c r="B20" s="164" t="s">
        <v>279</v>
      </c>
      <c r="C20" s="168">
        <v>9.6000000000000002E-2</v>
      </c>
      <c r="D20" s="169"/>
      <c r="E20" s="169"/>
      <c r="F20" s="168">
        <v>0.114</v>
      </c>
      <c r="G20" s="169"/>
      <c r="H20" s="161">
        <f t="shared" si="0"/>
        <v>0.114</v>
      </c>
      <c r="J20" s="185" t="s">
        <v>29</v>
      </c>
      <c r="K20" s="185" t="s">
        <v>383</v>
      </c>
      <c r="L20" s="185">
        <v>0.10864</v>
      </c>
      <c r="M20" s="185">
        <v>4.3346999999999998</v>
      </c>
      <c r="N20" s="185">
        <v>4.7579000000000002</v>
      </c>
      <c r="O20" s="169"/>
      <c r="P20" s="169" t="s">
        <v>27</v>
      </c>
      <c r="R20" s="193" t="s">
        <v>199</v>
      </c>
      <c r="S20" s="185" t="s">
        <v>292</v>
      </c>
      <c r="T20" s="185">
        <v>5.1249440641957703E-2</v>
      </c>
      <c r="U20" s="185">
        <v>4.1903316981702918</v>
      </c>
      <c r="V20" s="185">
        <v>6.1154592159117858</v>
      </c>
      <c r="W20" s="169" t="s">
        <v>27</v>
      </c>
      <c r="X20" s="169"/>
    </row>
    <row r="21" spans="1:33" x14ac:dyDescent="0.25">
      <c r="A21" s="150" t="s">
        <v>18</v>
      </c>
      <c r="B21" s="166" t="s">
        <v>273</v>
      </c>
      <c r="C21" s="168">
        <v>0.12</v>
      </c>
      <c r="D21" s="169"/>
      <c r="E21" s="169"/>
      <c r="F21" s="169"/>
      <c r="G21" s="169"/>
      <c r="H21" s="161">
        <f t="shared" si="0"/>
        <v>0.12</v>
      </c>
      <c r="I21" s="143"/>
      <c r="J21" s="185" t="s">
        <v>31</v>
      </c>
      <c r="K21" s="185" t="s">
        <v>361</v>
      </c>
      <c r="L21" s="185">
        <v>0.115</v>
      </c>
      <c r="M21" s="185">
        <v>6.3654879848908994</v>
      </c>
      <c r="N21" s="185">
        <v>6.6812412373755876</v>
      </c>
      <c r="O21" s="187"/>
      <c r="P21" s="187" t="s">
        <v>27</v>
      </c>
      <c r="R21" s="193" t="s">
        <v>21</v>
      </c>
      <c r="S21" s="185" t="s">
        <v>294</v>
      </c>
      <c r="T21" s="185">
        <v>5.0142605583795442E-2</v>
      </c>
      <c r="U21" s="185">
        <v>5.1627272974976997</v>
      </c>
      <c r="V21" s="185">
        <v>5.3203351508593677</v>
      </c>
      <c r="W21" s="169"/>
      <c r="X21" s="169" t="s">
        <v>27</v>
      </c>
    </row>
    <row r="22" spans="1:33" x14ac:dyDescent="0.25">
      <c r="A22" s="150" t="s">
        <v>284</v>
      </c>
      <c r="B22" s="164" t="s">
        <v>286</v>
      </c>
      <c r="C22" s="168">
        <v>0.10100000000000001</v>
      </c>
      <c r="D22" s="170"/>
      <c r="E22" s="168">
        <v>0.129</v>
      </c>
      <c r="F22" s="169"/>
      <c r="G22" s="169"/>
      <c r="H22" s="161">
        <f t="shared" si="0"/>
        <v>0.129</v>
      </c>
      <c r="I22" s="143"/>
      <c r="J22" s="185" t="s">
        <v>21</v>
      </c>
      <c r="K22" s="185" t="s">
        <v>381</v>
      </c>
      <c r="L22" s="191">
        <v>0.10100000000000001</v>
      </c>
      <c r="M22" s="191">
        <v>4.6869610968630031</v>
      </c>
      <c r="N22" s="191">
        <v>4.9408785478813435</v>
      </c>
      <c r="O22" s="187"/>
      <c r="P22" s="169" t="s">
        <v>27</v>
      </c>
      <c r="R22" s="185" t="s">
        <v>199</v>
      </c>
      <c r="S22" s="185" t="s">
        <v>312</v>
      </c>
      <c r="T22" s="185">
        <v>6.2E-2</v>
      </c>
      <c r="U22" s="185">
        <v>1.7782</v>
      </c>
      <c r="V22" s="185">
        <v>5.6398000000000001</v>
      </c>
      <c r="W22" s="169" t="s">
        <v>27</v>
      </c>
      <c r="X22" s="169"/>
    </row>
    <row r="23" spans="1:33" x14ac:dyDescent="0.25">
      <c r="A23" s="150" t="s">
        <v>310</v>
      </c>
      <c r="B23" s="163" t="s">
        <v>295</v>
      </c>
      <c r="C23" s="168">
        <v>0.13200000000000001</v>
      </c>
      <c r="D23" s="169"/>
      <c r="E23" s="169"/>
      <c r="F23" s="168">
        <v>6.2E-2</v>
      </c>
      <c r="G23" s="169"/>
      <c r="H23" s="161">
        <v>0.13200000000000001</v>
      </c>
      <c r="J23" s="185" t="s">
        <v>199</v>
      </c>
      <c r="K23" s="185" t="s">
        <v>311</v>
      </c>
      <c r="L23" s="185">
        <v>0.13224</v>
      </c>
      <c r="M23" s="185">
        <v>2.1856365769619117</v>
      </c>
      <c r="N23" s="185">
        <v>6.8450980400142569</v>
      </c>
      <c r="O23" s="169" t="s">
        <v>27</v>
      </c>
      <c r="P23" s="169"/>
    </row>
    <row r="24" spans="1:33" x14ac:dyDescent="0.25">
      <c r="A24" s="150" t="s">
        <v>264</v>
      </c>
      <c r="B24" s="163" t="s">
        <v>266</v>
      </c>
      <c r="C24" s="168">
        <v>0.19</v>
      </c>
      <c r="D24" s="169"/>
      <c r="E24" s="168">
        <v>8.5999999999999993E-2</v>
      </c>
      <c r="F24" s="169"/>
      <c r="G24" s="169"/>
      <c r="H24" s="161">
        <f t="shared" ref="H24:H31" si="1">MAX(C24:G24)</f>
        <v>0.19</v>
      </c>
      <c r="I24" s="143"/>
      <c r="J24" s="185" t="s">
        <v>19</v>
      </c>
      <c r="K24" s="185" t="s">
        <v>380</v>
      </c>
      <c r="L24" s="185">
        <v>0.19</v>
      </c>
      <c r="M24" s="185">
        <v>5.8750612633917001</v>
      </c>
      <c r="N24" s="185">
        <v>6.4506689193543743</v>
      </c>
      <c r="O24" s="187"/>
      <c r="P24" s="169" t="s">
        <v>27</v>
      </c>
    </row>
    <row r="25" spans="1:33" x14ac:dyDescent="0.25">
      <c r="A25" s="150" t="s">
        <v>179</v>
      </c>
      <c r="B25" s="163" t="s">
        <v>268</v>
      </c>
      <c r="C25" s="168">
        <v>0.20100000000000001</v>
      </c>
      <c r="D25" s="169"/>
      <c r="E25" s="169"/>
      <c r="F25" s="169"/>
      <c r="G25" s="169"/>
      <c r="H25" s="161">
        <f t="shared" si="1"/>
        <v>0.20100000000000001</v>
      </c>
      <c r="I25" s="144"/>
      <c r="J25" s="185" t="s">
        <v>21</v>
      </c>
      <c r="K25" s="185" t="s">
        <v>346</v>
      </c>
      <c r="L25" s="185">
        <v>0.2014069025148402</v>
      </c>
      <c r="M25" s="185">
        <v>2.2900346113625178</v>
      </c>
      <c r="N25" s="185">
        <v>3.019116290447073</v>
      </c>
      <c r="O25" s="169"/>
      <c r="P25" s="169" t="s">
        <v>27</v>
      </c>
    </row>
    <row r="26" spans="1:33" x14ac:dyDescent="0.25">
      <c r="A26" s="150" t="s">
        <v>189</v>
      </c>
      <c r="B26" s="163" t="s">
        <v>367</v>
      </c>
      <c r="C26" s="169"/>
      <c r="D26" s="169"/>
      <c r="E26" s="169"/>
      <c r="F26" s="169"/>
      <c r="G26" s="168">
        <v>0.20200000000000001</v>
      </c>
      <c r="H26" s="161">
        <f t="shared" si="1"/>
        <v>0.20200000000000001</v>
      </c>
      <c r="I26" s="144"/>
      <c r="J26" s="185" t="s">
        <v>23</v>
      </c>
      <c r="K26" s="185" t="s">
        <v>366</v>
      </c>
      <c r="L26" s="185">
        <v>0.20200000000000001</v>
      </c>
      <c r="M26" s="194">
        <v>5.9777236052888476</v>
      </c>
      <c r="N26" s="194">
        <v>6.6020599913279625</v>
      </c>
      <c r="O26" s="187"/>
      <c r="P26" s="187" t="s">
        <v>27</v>
      </c>
    </row>
    <row r="27" spans="1:33" x14ac:dyDescent="0.25">
      <c r="A27" s="150" t="s">
        <v>243</v>
      </c>
      <c r="B27" s="163" t="s">
        <v>269</v>
      </c>
      <c r="C27" s="168">
        <v>0.219</v>
      </c>
      <c r="D27" s="169"/>
      <c r="E27" s="169"/>
      <c r="F27" s="169"/>
      <c r="G27" s="169"/>
      <c r="H27" s="161">
        <f t="shared" si="1"/>
        <v>0.219</v>
      </c>
      <c r="I27" s="144"/>
      <c r="J27" s="185" t="s">
        <v>26</v>
      </c>
      <c r="K27" s="185" t="s">
        <v>269</v>
      </c>
      <c r="L27" s="185">
        <v>0.21924503818929722</v>
      </c>
      <c r="M27" s="185">
        <v>7.7923916894982534</v>
      </c>
      <c r="N27" s="185">
        <v>8.3891660843645326</v>
      </c>
      <c r="O27" s="169"/>
      <c r="P27" s="169" t="s">
        <v>27</v>
      </c>
      <c r="W27" s="86"/>
    </row>
    <row r="28" spans="1:33" x14ac:dyDescent="0.25">
      <c r="A28" s="150" t="s">
        <v>28</v>
      </c>
      <c r="B28" s="163" t="s">
        <v>283</v>
      </c>
      <c r="C28" s="168">
        <v>0.23499999999999999</v>
      </c>
      <c r="D28" s="169"/>
      <c r="E28" s="168">
        <v>0.10299999999999999</v>
      </c>
      <c r="F28" s="169"/>
      <c r="G28" s="169"/>
      <c r="H28" s="161">
        <f t="shared" si="1"/>
        <v>0.23499999999999999</v>
      </c>
      <c r="I28" s="144"/>
      <c r="J28" s="185" t="s">
        <v>22</v>
      </c>
      <c r="K28" s="185" t="s">
        <v>363</v>
      </c>
      <c r="L28" s="185">
        <v>0.23499999999999999</v>
      </c>
      <c r="M28" s="185">
        <v>4.1760912590556813</v>
      </c>
      <c r="N28" s="185">
        <v>7.8450980400142569</v>
      </c>
      <c r="O28" s="187" t="s">
        <v>27</v>
      </c>
      <c r="P28" s="187"/>
      <c r="R28" s="165"/>
      <c r="S28" s="165"/>
      <c r="W28" s="162"/>
      <c r="X28" s="86"/>
    </row>
    <row r="29" spans="1:33" x14ac:dyDescent="0.25">
      <c r="A29" s="150" t="s">
        <v>191</v>
      </c>
      <c r="B29" s="163" t="s">
        <v>274</v>
      </c>
      <c r="C29" s="168">
        <v>0.27700000000000002</v>
      </c>
      <c r="D29" s="169"/>
      <c r="E29" s="169"/>
      <c r="F29" s="169"/>
      <c r="G29" s="169"/>
      <c r="H29" s="161">
        <f t="shared" si="1"/>
        <v>0.27700000000000002</v>
      </c>
      <c r="I29" s="144"/>
      <c r="J29" s="185" t="s">
        <v>26</v>
      </c>
      <c r="K29" s="185" t="s">
        <v>365</v>
      </c>
      <c r="L29" s="185">
        <v>0.27700000000000002</v>
      </c>
      <c r="M29" s="185">
        <v>4.3107898329531373</v>
      </c>
      <c r="N29" s="185">
        <v>5.1000570882422425</v>
      </c>
      <c r="O29" s="187"/>
      <c r="P29" s="187" t="s">
        <v>27</v>
      </c>
    </row>
    <row r="30" spans="1:33" x14ac:dyDescent="0.25">
      <c r="A30" s="150" t="s">
        <v>190</v>
      </c>
      <c r="B30" s="163" t="s">
        <v>369</v>
      </c>
      <c r="C30" s="169"/>
      <c r="D30" s="169"/>
      <c r="E30" s="169"/>
      <c r="F30" s="169"/>
      <c r="G30" s="168">
        <v>0.40200000000000002</v>
      </c>
      <c r="H30" s="161">
        <f t="shared" si="1"/>
        <v>0.40200000000000002</v>
      </c>
      <c r="I30" s="144"/>
      <c r="J30" s="185" t="s">
        <v>23</v>
      </c>
      <c r="K30" s="185" t="s">
        <v>368</v>
      </c>
      <c r="L30" s="185">
        <v>0.40200000000000002</v>
      </c>
      <c r="M30" s="194">
        <v>6.0555173278498318</v>
      </c>
      <c r="N30" s="194">
        <v>6.9714445395469475</v>
      </c>
      <c r="O30" s="187"/>
      <c r="P30" s="187" t="s">
        <v>27</v>
      </c>
    </row>
    <row r="31" spans="1:33" x14ac:dyDescent="0.25">
      <c r="A31" s="150" t="s">
        <v>192</v>
      </c>
      <c r="B31" s="163" t="s">
        <v>275</v>
      </c>
      <c r="C31" s="168">
        <v>0.68600000000000005</v>
      </c>
      <c r="D31" s="169"/>
      <c r="E31" s="169"/>
      <c r="F31" s="169"/>
      <c r="G31" s="169"/>
      <c r="H31" s="161">
        <f t="shared" si="1"/>
        <v>0.68600000000000005</v>
      </c>
      <c r="J31" s="185" t="s">
        <v>26</v>
      </c>
      <c r="K31" s="185" t="s">
        <v>370</v>
      </c>
      <c r="L31" s="185">
        <v>0.68600000000000005</v>
      </c>
      <c r="M31" s="185">
        <v>4.6353009244666419</v>
      </c>
      <c r="N31" s="185">
        <v>6.9731278535996983</v>
      </c>
      <c r="O31" s="169"/>
      <c r="P31" s="169" t="s">
        <v>27</v>
      </c>
    </row>
    <row r="32" spans="1:33" x14ac:dyDescent="0.25">
      <c r="A32" s="150"/>
      <c r="B32" s="160"/>
      <c r="H32" s="161"/>
      <c r="I32" s="144"/>
      <c r="M32" s="154"/>
      <c r="N32" s="154"/>
      <c r="O32" s="162"/>
      <c r="P32" s="162"/>
    </row>
    <row r="33" spans="1:16" x14ac:dyDescent="0.25">
      <c r="A33" s="167" t="s">
        <v>406</v>
      </c>
      <c r="B33" s="167"/>
      <c r="C33" s="167">
        <f>COUNTA(B9:B31)</f>
        <v>23</v>
      </c>
      <c r="I33" s="144"/>
      <c r="O33" s="86"/>
      <c r="P33" s="86"/>
    </row>
    <row r="34" spans="1:16" x14ac:dyDescent="0.25">
      <c r="A34" s="167" t="s">
        <v>407</v>
      </c>
      <c r="C34" s="167">
        <f>C33+6</f>
        <v>29</v>
      </c>
    </row>
    <row r="35" spans="1:16" x14ac:dyDescent="0.25">
      <c r="A35" s="167" t="s">
        <v>388</v>
      </c>
      <c r="C35" s="167">
        <f>COUNT(C9:G31)</f>
        <v>37</v>
      </c>
    </row>
    <row r="36" spans="1:16" x14ac:dyDescent="0.25">
      <c r="A36" s="167" t="s">
        <v>387</v>
      </c>
      <c r="C36" s="167">
        <f>C35+9</f>
        <v>46</v>
      </c>
    </row>
    <row r="160" s="85" customFormat="1" x14ac:dyDescent="0.25"/>
    <row r="161" s="85" customFormat="1" x14ac:dyDescent="0.25"/>
    <row r="162" s="85" customFormat="1" x14ac:dyDescent="0.25"/>
    <row r="163" s="85" customFormat="1" x14ac:dyDescent="0.25"/>
    <row r="164" s="85" customFormat="1" x14ac:dyDescent="0.25"/>
  </sheetData>
  <sortState xmlns:xlrd2="http://schemas.microsoft.com/office/spreadsheetml/2017/richdata2" ref="A9:H31">
    <sortCondition ref="H9:H31"/>
  </sortState>
  <customSheetViews>
    <customSheetView guid="{FE58DACD-0759-49AE-B802-24C56E0F01FD}" scale="70" showPageBreaks="1" fitToPage="1">
      <selection activeCell="S27" sqref="S27"/>
      <pageMargins left="0.78740157499999996" right="0.78740157499999996" top="0.984251969" bottom="0.984251969" header="0.4921259845" footer="0.4921259845"/>
      <pageSetup paperSize="9" scale="38" orientation="landscape" r:id="rId1"/>
      <headerFooter alignWithMargins="0"/>
    </customSheetView>
  </customSheetViews>
  <hyperlinks>
    <hyperlink ref="C9" location="'11x1 grain meal2 B'!A1" display="'11x1 grain meal2 B'!A1" xr:uid="{00000000-0004-0000-0100-000000000000}"/>
    <hyperlink ref="D9" location="'11x1 grain meal2 M'!A1" display="'11x1 grain meal2 M'!A1" xr:uid="{00000000-0004-0000-0100-000001000000}"/>
    <hyperlink ref="C10" location="'10x2 oats B'!A1" display="'10x2 oats B'!A1" xr:uid="{00000000-0004-0000-0100-000002000000}"/>
    <hyperlink ref="F10" location="'10x2 oats F'!A1" display="'10x2 oats F'!A1" xr:uid="{00000000-0004-0000-0100-000003000000}"/>
    <hyperlink ref="C11" location="'11x1 liquid feed B'!A1" display="'11x1 liquid feed B'!A1" xr:uid="{00000000-0004-0000-0100-000004000000}"/>
    <hyperlink ref="C12" location="'11x1 PelCompoundChick B'!A1" display="'11x1 PelCompoundChick B'!A1" xr:uid="{00000000-0004-0000-0100-000005000000}"/>
    <hyperlink ref="C13" location="'10x2 rye B'!A1" display="'10x2 rye B'!A1" xr:uid="{00000000-0004-0000-0100-000006000000}"/>
    <hyperlink ref="C14" location="'11x1 complete feed pigs B'!A1" display="'11x1 complete feed pigs B'!A1" xr:uid="{00000000-0004-0000-0100-000007000000}"/>
    <hyperlink ref="C15" location="'11x1 grain flour B'!A1" display="'11x1 grain flour B'!A1" xr:uid="{00000000-0004-0000-0100-000008000000}"/>
    <hyperlink ref="F15" location="'11x1 grain flour F'!A1" display="'11x1 grain flour F'!A1" xr:uid="{00000000-0004-0000-0100-000009000000}"/>
    <hyperlink ref="C20" location="'10x2 hay2 B'!A1" display="'10x2 hay2 B'!A1" xr:uid="{00000000-0004-0000-0100-00000A000000}"/>
    <hyperlink ref="F20" location="'10x2 hay2 F'!A1" display="'10x2 hay2 F'!A1" xr:uid="{00000000-0004-0000-0100-00000B000000}"/>
    <hyperlink ref="C16" location="'10x2 barley B'!A1" display="'10x2 barley B'!A1" xr:uid="{00000000-0004-0000-0100-00000C000000}"/>
    <hyperlink ref="D16" location="'10x2 barley M'!A1" display="'10x2 barley M'!A1" xr:uid="{00000000-0004-0000-0100-00000D000000}"/>
    <hyperlink ref="E16" location="'10x2 barley Y'!A1" display="'10x2 barley Y'!A1" xr:uid="{00000000-0004-0000-0100-00000E000000}"/>
    <hyperlink ref="C17" location="'10x2 hay1 B'!A1" display="'10x2 hay1 B'!A1" xr:uid="{00000000-0004-0000-0100-00000F000000}"/>
    <hyperlink ref="D17" location="'10x2 hay1 M'!A1" display="'10x2 hay1 M'!A1" xr:uid="{00000000-0004-0000-0100-000010000000}"/>
    <hyperlink ref="E17" location="'10x2 hay1 Y'!A1" display="'10x2 hay1 Y'!A1" xr:uid="{00000000-0004-0000-0100-000011000000}"/>
    <hyperlink ref="C18" location="'10x2 wheat B'!A1" display="'10x2 wheat B'!A1" xr:uid="{00000000-0004-0000-0100-000012000000}"/>
    <hyperlink ref="D18" location="'10x2 wheat M'!A1" display="'10x2 wheat M'!A1" xr:uid="{00000000-0004-0000-0100-000013000000}"/>
    <hyperlink ref="E18" location="'10x2 wheat Y'!A1" display="'10x2 wheat Y'!A1" xr:uid="{00000000-0004-0000-0100-000014000000}"/>
    <hyperlink ref="C19" location="'11x1 grass silage'!A1" display="'11x1 grass silage'!A1" xr:uid="{00000000-0004-0000-0100-000015000000}"/>
    <hyperlink ref="C21" location="'11x1 straw B'!A1" display="'11x1 straw B'!A1" xr:uid="{00000000-0004-0000-0100-000016000000}"/>
    <hyperlink ref="C22" location="'11x1 grain meal1 B'!A1" display="'11x1 grain meal1 B'!A1" xr:uid="{00000000-0004-0000-0100-000017000000}"/>
    <hyperlink ref="E22" location="'11x1 grain meal1 Y'!A1" display="'11x1 grain meal1 Y'!A1" xr:uid="{00000000-0004-0000-0100-000018000000}"/>
    <hyperlink ref="C23" location="'10x2 sunflower B'!A1" display="'10x2 sunflower B'!A1" xr:uid="{00000000-0004-0000-0100-000019000000}"/>
    <hyperlink ref="F23" location="'10x2 sunflower F'!A1" display="'10x2 sunflower F'!A1" xr:uid="{00000000-0004-0000-0100-00001A000000}"/>
    <hyperlink ref="C24" location="'11x1 brewers grain B'!A1" display="'11x1 brewers grain B'!A1" xr:uid="{00000000-0004-0000-0100-00001B000000}"/>
    <hyperlink ref="E24" location="'11x1 brewers grain Y'!A1" display="'11x1 brewers grain Y'!A1" xr:uid="{00000000-0004-0000-0100-00001C000000}"/>
    <hyperlink ref="C25" location="'11x1 RapeExMeal B'!A1" display="'11x1 RapeExMeal B'!A1" xr:uid="{00000000-0004-0000-0100-00001D000000}"/>
    <hyperlink ref="G26" location="'11x1 BARF2 E'!A1" display="'11x1 BARF2 E'!A1" xr:uid="{00000000-0004-0000-0100-00001E000000}"/>
    <hyperlink ref="C27" location="'11x1 malt sprouts B'!A1" display="'11x1 malt sprouts B'!A1" xr:uid="{00000000-0004-0000-0100-00001F000000}"/>
    <hyperlink ref="C28" location="'10x2 maize silage B'!A1" display="'10x2 maize silage B'!A1" xr:uid="{00000000-0004-0000-0100-000020000000}"/>
    <hyperlink ref="E28" location="'10x2 maize silage Y'!A1" display="'10x2 maize silage Y'!A1" xr:uid="{00000000-0004-0000-0100-000021000000}"/>
    <hyperlink ref="C29" location="'11x1 chew toy2 B'!A1" display="'11x1 chew toy2 B'!A1" xr:uid="{00000000-0004-0000-0100-000022000000}"/>
    <hyperlink ref="G30" location="'11x1 BARF1 E'!A1" display="'11x1 BARF1 E'!A1" xr:uid="{00000000-0004-0000-0100-000023000000}"/>
    <hyperlink ref="C31" location="'11x1 chew toy1 B'!A1" display="'11x1 chew toy1 B'!A1" xr:uid="{00000000-0004-0000-0100-000024000000}"/>
    <hyperlink ref="AB9" location="'11x1 SoyExMeal1 B'!A1" display="'11x1 SoyExMeal1 B'!A1" xr:uid="{00000000-0004-0000-0100-000025000000}"/>
    <hyperlink ref="AB10" location="'11x1 SoyExMeal2 B'!A1" display="'11x1 SoyExMeal2 B'!A1" xr:uid="{00000000-0004-0000-0100-000026000000}"/>
    <hyperlink ref="AB11" location="'11x1 SoyExMeal3 B'!A1" display="'11x1 SoyExMeal3 B'!A1" xr:uid="{00000000-0004-0000-0100-000027000000}"/>
    <hyperlink ref="AB12" location="'11x1 SoyExMeal4 B'!A1" display="'11x1 SoyExMeal4 B'!A1" xr:uid="{00000000-0004-0000-0100-000028000000}"/>
    <hyperlink ref="AB13" location="'11x1 SoyExMeal5 B'!A1" display="'11x1 SoyExMeal5 B'!A1" xr:uid="{00000000-0004-0000-0100-000029000000}"/>
    <hyperlink ref="AB14" location="'11x1 SoyExMeal6B '!A1" display="'11x1 SoyExMeal6B '!A1" xr:uid="{00000000-0004-0000-0100-00002A000000}"/>
    <hyperlink ref="AB15" location="'11x1 SoyExMeal7B'!A1" display="'11x1 SoyExMeal7B'!A1" xr:uid="{00000000-0004-0000-0100-00002B000000}"/>
    <hyperlink ref="AB16" location="'11x1 SoyExMeal8B'!A1" display="'11x1 SoyExMeal8B'!A1" xr:uid="{00000000-0004-0000-0100-00002C000000}"/>
    <hyperlink ref="AB17" location="'11x1 SoyExMeal9B'!A1" display="'11x1 SoyExMeal9B'!A1" xr:uid="{00000000-0004-0000-0100-00002D000000}"/>
  </hyperlinks>
  <pageMargins left="0.78740157499999996" right="0.78740157499999996" top="0.984251969" bottom="0.984251969" header="0.4921259845" footer="0.4921259845"/>
  <pageSetup paperSize="9" orientation="landscape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42"/>
  <sheetViews>
    <sheetView view="pageLayout" zoomScale="80" zoomScaleNormal="80" zoomScalePageLayoutView="80" workbookViewId="0"/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2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282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53</v>
      </c>
      <c r="C4" s="202"/>
      <c r="D4" s="203"/>
      <c r="F4" s="201" t="s">
        <v>162</v>
      </c>
      <c r="G4" s="202"/>
      <c r="H4" s="202"/>
      <c r="I4" s="203"/>
    </row>
    <row r="5" spans="1:11" x14ac:dyDescent="0.25">
      <c r="A5" s="24" t="s">
        <v>94</v>
      </c>
      <c r="B5" s="201" t="s">
        <v>54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>
        <v>887377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1</v>
      </c>
      <c r="D9" s="32">
        <v>116</v>
      </c>
      <c r="E9" s="32">
        <v>5</v>
      </c>
      <c r="F9" s="32">
        <v>1</v>
      </c>
      <c r="G9" s="32">
        <v>19</v>
      </c>
      <c r="H9" s="5">
        <f>G9+D9</f>
        <v>135</v>
      </c>
      <c r="I9" s="33">
        <f t="shared" ref="I9:I19" si="0">IF(H9&gt;29,H9/(C9+0.1*F9)*10^(B9),"")</f>
        <v>1227272.7272727273</v>
      </c>
      <c r="J9" s="7">
        <f>IF(H9&gt;29,LOG10(I9),"")</f>
        <v>6.0889410833367812</v>
      </c>
      <c r="K9" s="34">
        <f t="shared" ref="K9:K19" si="1">IF(H9&gt;29,(J9-$J$21)^2,"")</f>
        <v>0.15141232809275351</v>
      </c>
    </row>
    <row r="10" spans="1:11" x14ac:dyDescent="0.25">
      <c r="A10" s="9">
        <v>2</v>
      </c>
      <c r="B10" s="29">
        <v>5</v>
      </c>
      <c r="C10" s="32">
        <v>1</v>
      </c>
      <c r="D10" s="29">
        <v>68</v>
      </c>
      <c r="E10" s="29">
        <v>6</v>
      </c>
      <c r="F10" s="32">
        <v>1</v>
      </c>
      <c r="G10" s="29">
        <v>9</v>
      </c>
      <c r="H10" s="5">
        <f t="shared" ref="H10:H19" si="2">G10+D10</f>
        <v>77</v>
      </c>
      <c r="I10" s="6">
        <f t="shared" si="0"/>
        <v>7000000</v>
      </c>
      <c r="J10" s="7">
        <f t="shared" ref="J10:J19" si="3">IF(H10&gt;29,LOG10(I10),"")</f>
        <v>6.8450980400142569</v>
      </c>
      <c r="K10" s="8">
        <f t="shared" si="1"/>
        <v>0.134718057757267</v>
      </c>
    </row>
    <row r="11" spans="1:11" x14ac:dyDescent="0.25">
      <c r="A11" s="9">
        <v>3</v>
      </c>
      <c r="B11" s="29">
        <v>5</v>
      </c>
      <c r="C11" s="32">
        <v>1</v>
      </c>
      <c r="D11" s="29">
        <v>89</v>
      </c>
      <c r="E11" s="29">
        <v>6</v>
      </c>
      <c r="F11" s="32">
        <v>1</v>
      </c>
      <c r="G11" s="29">
        <v>10</v>
      </c>
      <c r="H11" s="5">
        <f>G11+D11</f>
        <v>99</v>
      </c>
      <c r="I11" s="6">
        <f>IF(H11&gt;29,H11/(C11+0.1*F11)*10^(B11),"")</f>
        <v>8999999.9999999981</v>
      </c>
      <c r="J11" s="7">
        <f t="shared" si="3"/>
        <v>6.9542425094393252</v>
      </c>
      <c r="K11" s="8">
        <f>IF(H11&gt;29,(J11-$J$21)^2,"")</f>
        <v>0.22675125472697025</v>
      </c>
    </row>
    <row r="12" spans="1:11" x14ac:dyDescent="0.25">
      <c r="A12" s="9">
        <v>4</v>
      </c>
      <c r="B12" s="29">
        <v>5</v>
      </c>
      <c r="C12" s="32">
        <v>1</v>
      </c>
      <c r="D12" s="29">
        <v>96</v>
      </c>
      <c r="E12" s="29">
        <v>6</v>
      </c>
      <c r="F12" s="32">
        <v>1</v>
      </c>
      <c r="G12" s="29">
        <v>7</v>
      </c>
      <c r="H12" s="10">
        <f t="shared" si="2"/>
        <v>103</v>
      </c>
      <c r="I12" s="6">
        <f t="shared" si="0"/>
        <v>9363636.3636363633</v>
      </c>
      <c r="J12" s="7">
        <f t="shared" si="3"/>
        <v>6.9714445395469475</v>
      </c>
      <c r="K12" s="8">
        <f t="shared" si="1"/>
        <v>0.24342982948628059</v>
      </c>
    </row>
    <row r="13" spans="1:11" x14ac:dyDescent="0.25">
      <c r="A13" s="9">
        <v>5</v>
      </c>
      <c r="B13" s="29">
        <v>4</v>
      </c>
      <c r="C13" s="32">
        <v>1</v>
      </c>
      <c r="D13" s="29">
        <v>114</v>
      </c>
      <c r="E13" s="29">
        <v>5</v>
      </c>
      <c r="F13" s="32">
        <v>1</v>
      </c>
      <c r="G13" s="29">
        <v>12</v>
      </c>
      <c r="H13" s="10">
        <f t="shared" si="2"/>
        <v>126</v>
      </c>
      <c r="I13" s="6">
        <f t="shared" si="0"/>
        <v>1145454.5454545454</v>
      </c>
      <c r="J13" s="7">
        <f t="shared" si="3"/>
        <v>6.058977859959338</v>
      </c>
      <c r="K13" s="8">
        <f t="shared" si="1"/>
        <v>0.17562854423781971</v>
      </c>
    </row>
    <row r="14" spans="1:11" x14ac:dyDescent="0.25">
      <c r="A14" s="9">
        <v>6</v>
      </c>
      <c r="B14" s="29">
        <v>5</v>
      </c>
      <c r="C14" s="32">
        <v>1</v>
      </c>
      <c r="D14" s="29">
        <v>78</v>
      </c>
      <c r="E14" s="29">
        <v>6</v>
      </c>
      <c r="F14" s="32">
        <v>1</v>
      </c>
      <c r="G14" s="29">
        <v>3</v>
      </c>
      <c r="H14" s="10">
        <f t="shared" si="2"/>
        <v>81</v>
      </c>
      <c r="I14" s="6">
        <f t="shared" si="0"/>
        <v>7363636.3636363624</v>
      </c>
      <c r="J14" s="7">
        <f t="shared" si="3"/>
        <v>6.867092333720425</v>
      </c>
      <c r="K14" s="8">
        <f t="shared" si="1"/>
        <v>0.15134735962941676</v>
      </c>
    </row>
    <row r="15" spans="1:11" x14ac:dyDescent="0.25">
      <c r="A15" s="9">
        <v>7</v>
      </c>
      <c r="B15" s="29">
        <v>5</v>
      </c>
      <c r="C15" s="32">
        <v>1</v>
      </c>
      <c r="D15" s="29">
        <v>48</v>
      </c>
      <c r="E15" s="29">
        <v>6</v>
      </c>
      <c r="F15" s="32">
        <v>1</v>
      </c>
      <c r="G15" s="29">
        <v>4</v>
      </c>
      <c r="H15" s="10">
        <f t="shared" si="2"/>
        <v>52</v>
      </c>
      <c r="I15" s="6">
        <f t="shared" si="0"/>
        <v>4727272.7272727266</v>
      </c>
      <c r="J15" s="7">
        <f t="shared" si="3"/>
        <v>6.6746106584765741</v>
      </c>
      <c r="K15" s="8">
        <f t="shared" si="1"/>
        <v>3.8632769114455436E-2</v>
      </c>
    </row>
    <row r="16" spans="1:11" x14ac:dyDescent="0.25">
      <c r="A16" s="9">
        <v>8</v>
      </c>
      <c r="B16" s="29">
        <v>4</v>
      </c>
      <c r="C16" s="32">
        <v>1</v>
      </c>
      <c r="D16" s="29">
        <v>121</v>
      </c>
      <c r="E16" s="29">
        <v>5</v>
      </c>
      <c r="F16" s="32">
        <v>1</v>
      </c>
      <c r="G16" s="29">
        <v>15</v>
      </c>
      <c r="H16" s="10">
        <f t="shared" si="2"/>
        <v>136</v>
      </c>
      <c r="I16" s="6">
        <f t="shared" si="0"/>
        <v>1236363.6363636362</v>
      </c>
      <c r="J16" s="7">
        <f t="shared" si="3"/>
        <v>6.0921462232119925</v>
      </c>
      <c r="K16" s="8">
        <f t="shared" si="1"/>
        <v>0.14892824981315989</v>
      </c>
    </row>
    <row r="17" spans="1:11" x14ac:dyDescent="0.25">
      <c r="A17" s="9">
        <v>9</v>
      </c>
      <c r="B17" s="29">
        <v>4</v>
      </c>
      <c r="C17" s="32">
        <v>1</v>
      </c>
      <c r="D17" s="29">
        <v>118</v>
      </c>
      <c r="E17" s="29">
        <v>5</v>
      </c>
      <c r="F17" s="32">
        <v>1</v>
      </c>
      <c r="G17" s="29">
        <v>14</v>
      </c>
      <c r="H17" s="10">
        <f t="shared" si="2"/>
        <v>132</v>
      </c>
      <c r="I17" s="6">
        <f t="shared" si="0"/>
        <v>1199999.9999999998</v>
      </c>
      <c r="J17" s="7">
        <f t="shared" si="3"/>
        <v>6.0791812460476251</v>
      </c>
      <c r="K17" s="8">
        <f t="shared" si="1"/>
        <v>0.1591030269632964</v>
      </c>
    </row>
    <row r="18" spans="1:11" x14ac:dyDescent="0.25">
      <c r="A18" s="9">
        <v>10</v>
      </c>
      <c r="B18" s="29">
        <v>4</v>
      </c>
      <c r="C18" s="32">
        <v>1</v>
      </c>
      <c r="D18" s="29">
        <v>115</v>
      </c>
      <c r="E18" s="29">
        <v>5</v>
      </c>
      <c r="F18" s="32">
        <v>1</v>
      </c>
      <c r="G18" s="29">
        <v>10</v>
      </c>
      <c r="H18" s="10">
        <f t="shared" si="2"/>
        <v>125</v>
      </c>
      <c r="I18" s="6">
        <f t="shared" si="0"/>
        <v>1136363.6363636362</v>
      </c>
      <c r="J18" s="7">
        <f t="shared" si="3"/>
        <v>6.0555173278498318</v>
      </c>
      <c r="K18" s="8">
        <f t="shared" si="1"/>
        <v>0.17854100322407232</v>
      </c>
    </row>
    <row r="19" spans="1:11" ht="13.8" thickBot="1" x14ac:dyDescent="0.3">
      <c r="A19" s="11">
        <v>11</v>
      </c>
      <c r="B19" s="30">
        <v>5</v>
      </c>
      <c r="C19" s="32">
        <v>1</v>
      </c>
      <c r="D19" s="30">
        <v>40</v>
      </c>
      <c r="E19" s="30">
        <v>6</v>
      </c>
      <c r="F19" s="32">
        <v>1</v>
      </c>
      <c r="G19" s="30">
        <v>1</v>
      </c>
      <c r="H19" s="12">
        <f t="shared" si="2"/>
        <v>41</v>
      </c>
      <c r="I19" s="27">
        <f t="shared" si="0"/>
        <v>3727272.7272727266</v>
      </c>
      <c r="J19" s="13">
        <f t="shared" si="3"/>
        <v>6.5713911715615101</v>
      </c>
      <c r="K19" s="25">
        <f t="shared" si="1"/>
        <v>8.7109961815929841E-3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4284297.5206611566</v>
      </c>
      <c r="J21" s="17">
        <f>AVERAGE(J9:J19)</f>
        <v>6.4780584539240547</v>
      </c>
      <c r="K21" s="18">
        <f>SUM(K9:K19)</f>
        <v>1.617203419227085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3366176.1686663651</v>
      </c>
      <c r="J22" s="31">
        <f>STDEV(J9:J19)</f>
        <v>0.40214467784953778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78.570084183763541</v>
      </c>
      <c r="J23" s="19">
        <f>J22/J21*100</f>
        <v>6.207796374636608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0.40214467784953778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3" sqref="B3:D3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8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{FE0B08C2-D8EC-4F33-88C8-4FA761BDE3B3}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E0B08C2-D8EC-4F33-88C8-4FA761BDE3B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42"/>
  <sheetViews>
    <sheetView zoomScale="80" zoomScaleNormal="80" workbookViewId="0">
      <selection activeCell="A29" sqref="A29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1.55468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281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53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54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>
        <v>2836719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2</v>
      </c>
      <c r="D9" s="32">
        <v>800</v>
      </c>
      <c r="E9" s="32"/>
      <c r="F9" s="32"/>
      <c r="G9" s="32"/>
      <c r="H9" s="5">
        <f>G9+D9</f>
        <v>800</v>
      </c>
      <c r="I9" s="33">
        <f t="shared" ref="I9:I19" si="0">IF(H9&gt;29,H9/(C9+0.1*F9)*10^(B9),"")</f>
        <v>4000000</v>
      </c>
      <c r="J9" s="7">
        <f>IF(H9&gt;29,LOG10(I9),"")</f>
        <v>6.6020599913279625</v>
      </c>
      <c r="K9" s="34">
        <f t="shared" ref="K9:K19" si="1">IF(H9&gt;29,(J9-$J$21)^2,"")</f>
        <v>0.12309999914330665</v>
      </c>
    </row>
    <row r="10" spans="1:11" x14ac:dyDescent="0.25">
      <c r="A10" s="9">
        <v>2</v>
      </c>
      <c r="B10" s="32">
        <v>4</v>
      </c>
      <c r="C10" s="32">
        <v>2</v>
      </c>
      <c r="D10" s="89">
        <v>243</v>
      </c>
      <c r="E10" s="29"/>
      <c r="F10" s="32"/>
      <c r="G10" s="29"/>
      <c r="H10" s="5">
        <f t="shared" ref="H10:H19" si="2">G10+D10</f>
        <v>243</v>
      </c>
      <c r="I10" s="6">
        <f t="shared" si="0"/>
        <v>1215000</v>
      </c>
      <c r="J10" s="7">
        <f t="shared" ref="J10:J19" si="3">IF(H10&gt;29,LOG10(I10),"")</f>
        <v>6.0845762779343309</v>
      </c>
      <c r="K10" s="8">
        <f t="shared" si="1"/>
        <v>2.7764763332800237E-2</v>
      </c>
    </row>
    <row r="11" spans="1:11" x14ac:dyDescent="0.25">
      <c r="A11" s="9">
        <v>3</v>
      </c>
      <c r="B11" s="32">
        <v>4</v>
      </c>
      <c r="C11" s="32">
        <v>2</v>
      </c>
      <c r="D11" s="89">
        <v>391</v>
      </c>
      <c r="E11" s="29"/>
      <c r="F11" s="32"/>
      <c r="G11" s="29"/>
      <c r="H11" s="5">
        <f>G11+D11</f>
        <v>391</v>
      </c>
      <c r="I11" s="6">
        <f>IF(H11&gt;29,H11/(C11+0.1*F11)*10^(B11),"")</f>
        <v>1955000</v>
      </c>
      <c r="J11" s="7">
        <f t="shared" si="3"/>
        <v>6.2911467617318859</v>
      </c>
      <c r="K11" s="8">
        <f>IF(H11&gt;29,(J11-$J$21)^2,"")</f>
        <v>1.5954324676067404E-3</v>
      </c>
    </row>
    <row r="12" spans="1:11" x14ac:dyDescent="0.25">
      <c r="A12" s="9">
        <v>4</v>
      </c>
      <c r="B12" s="32">
        <v>4</v>
      </c>
      <c r="C12" s="32">
        <v>2</v>
      </c>
      <c r="D12" s="89">
        <v>283</v>
      </c>
      <c r="E12" s="29"/>
      <c r="F12" s="32"/>
      <c r="G12" s="29"/>
      <c r="H12" s="10">
        <f t="shared" si="2"/>
        <v>283</v>
      </c>
      <c r="I12" s="6">
        <f t="shared" si="0"/>
        <v>1415000</v>
      </c>
      <c r="J12" s="7">
        <f t="shared" si="3"/>
        <v>6.1507564398603094</v>
      </c>
      <c r="K12" s="8">
        <f t="shared" si="1"/>
        <v>1.0089691583923668E-2</v>
      </c>
    </row>
    <row r="13" spans="1:11" x14ac:dyDescent="0.25">
      <c r="A13" s="9">
        <v>5</v>
      </c>
      <c r="B13" s="32">
        <v>4</v>
      </c>
      <c r="C13" s="32">
        <v>2</v>
      </c>
      <c r="D13" s="89">
        <v>275</v>
      </c>
      <c r="E13" s="29"/>
      <c r="F13" s="32"/>
      <c r="G13" s="29"/>
      <c r="H13" s="10">
        <f t="shared" si="2"/>
        <v>275</v>
      </c>
      <c r="I13" s="6">
        <f t="shared" si="0"/>
        <v>1375000</v>
      </c>
      <c r="J13" s="7">
        <f t="shared" si="3"/>
        <v>6.1383026981662816</v>
      </c>
      <c r="K13" s="8">
        <f t="shared" si="1"/>
        <v>1.2746680628509194E-2</v>
      </c>
    </row>
    <row r="14" spans="1:11" x14ac:dyDescent="0.25">
      <c r="A14" s="9">
        <v>6</v>
      </c>
      <c r="B14" s="32">
        <v>4</v>
      </c>
      <c r="C14" s="32">
        <v>2</v>
      </c>
      <c r="D14" s="89">
        <v>190</v>
      </c>
      <c r="E14" s="29"/>
      <c r="F14" s="32"/>
      <c r="G14" s="29"/>
      <c r="H14" s="10">
        <f t="shared" si="2"/>
        <v>190</v>
      </c>
      <c r="I14" s="6">
        <f t="shared" si="0"/>
        <v>950000</v>
      </c>
      <c r="J14" s="7">
        <f t="shared" si="3"/>
        <v>5.9777236052888476</v>
      </c>
      <c r="K14" s="8">
        <f t="shared" si="1"/>
        <v>7.4791469785869619E-2</v>
      </c>
    </row>
    <row r="15" spans="1:11" x14ac:dyDescent="0.25">
      <c r="A15" s="9">
        <v>7</v>
      </c>
      <c r="B15" s="32">
        <v>4</v>
      </c>
      <c r="C15" s="32">
        <v>2</v>
      </c>
      <c r="D15" s="90">
        <v>237</v>
      </c>
      <c r="E15" s="29"/>
      <c r="F15" s="32"/>
      <c r="G15" s="29"/>
      <c r="H15" s="10">
        <f t="shared" si="2"/>
        <v>237</v>
      </c>
      <c r="I15" s="6">
        <f t="shared" si="0"/>
        <v>1185000</v>
      </c>
      <c r="J15" s="7">
        <f t="shared" si="3"/>
        <v>6.0737183503461223</v>
      </c>
      <c r="K15" s="8">
        <f t="shared" si="1"/>
        <v>3.1501119161640494E-2</v>
      </c>
    </row>
    <row r="16" spans="1:11" x14ac:dyDescent="0.25">
      <c r="A16" s="9">
        <v>8</v>
      </c>
      <c r="B16" s="32">
        <v>4</v>
      </c>
      <c r="C16" s="32">
        <v>2</v>
      </c>
      <c r="D16" s="89">
        <v>688</v>
      </c>
      <c r="E16" s="29"/>
      <c r="F16" s="32"/>
      <c r="G16" s="29"/>
      <c r="H16" s="10">
        <f t="shared" si="2"/>
        <v>688</v>
      </c>
      <c r="I16" s="6">
        <f t="shared" si="0"/>
        <v>3440000</v>
      </c>
      <c r="J16" s="7">
        <f t="shared" si="3"/>
        <v>6.53655844257153</v>
      </c>
      <c r="K16" s="8">
        <f t="shared" si="1"/>
        <v>8.142721685419993E-2</v>
      </c>
    </row>
    <row r="17" spans="1:11" x14ac:dyDescent="0.25">
      <c r="A17" s="9">
        <v>9</v>
      </c>
      <c r="B17" s="32">
        <v>4</v>
      </c>
      <c r="C17" s="32">
        <v>2</v>
      </c>
      <c r="D17" s="89">
        <v>440</v>
      </c>
      <c r="E17" s="29"/>
      <c r="F17" s="32"/>
      <c r="G17" s="29"/>
      <c r="H17" s="10">
        <f t="shared" si="2"/>
        <v>440</v>
      </c>
      <c r="I17" s="6">
        <f t="shared" si="0"/>
        <v>2200000</v>
      </c>
      <c r="J17" s="7">
        <f t="shared" si="3"/>
        <v>6.3424226808222066</v>
      </c>
      <c r="K17" s="8">
        <f t="shared" si="1"/>
        <v>8.3208665782210957E-3</v>
      </c>
    </row>
    <row r="18" spans="1:11" x14ac:dyDescent="0.25">
      <c r="A18" s="9">
        <v>10</v>
      </c>
      <c r="B18" s="32">
        <v>4</v>
      </c>
      <c r="C18" s="32">
        <v>2</v>
      </c>
      <c r="D18" s="89">
        <v>281</v>
      </c>
      <c r="E18" s="29"/>
      <c r="F18" s="32"/>
      <c r="G18" s="29"/>
      <c r="H18" s="10">
        <f t="shared" si="2"/>
        <v>281</v>
      </c>
      <c r="I18" s="6">
        <f t="shared" si="0"/>
        <v>1405000</v>
      </c>
      <c r="J18" s="7">
        <f t="shared" si="3"/>
        <v>6.1476763242410986</v>
      </c>
      <c r="K18" s="8">
        <f t="shared" si="1"/>
        <v>1.0717958257545027E-2</v>
      </c>
    </row>
    <row r="19" spans="1:11" ht="13.8" thickBot="1" x14ac:dyDescent="0.3">
      <c r="A19" s="11">
        <v>11</v>
      </c>
      <c r="B19" s="32">
        <v>4</v>
      </c>
      <c r="C19" s="32">
        <v>2</v>
      </c>
      <c r="D19" s="89">
        <v>524</v>
      </c>
      <c r="E19" s="30"/>
      <c r="F19" s="32"/>
      <c r="G19" s="30"/>
      <c r="H19" s="12">
        <f t="shared" si="2"/>
        <v>524</v>
      </c>
      <c r="I19" s="27">
        <f t="shared" si="0"/>
        <v>2620000</v>
      </c>
      <c r="J19" s="13">
        <f t="shared" si="3"/>
        <v>6.4183012913197457</v>
      </c>
      <c r="K19" s="25">
        <f t="shared" si="1"/>
        <v>2.7921539291431614E-2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1978181.8181818181</v>
      </c>
      <c r="J21" s="17">
        <f>AVERAGE(J9:J19)</f>
        <v>6.2512038966918473</v>
      </c>
      <c r="K21" s="18">
        <f>SUM(K9:K19)</f>
        <v>0.40997673708505422</v>
      </c>
    </row>
    <row r="22" spans="1:11" ht="13.8" thickBot="1" x14ac:dyDescent="0.3">
      <c r="A22" s="200" t="s">
        <v>423</v>
      </c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998229.11379921355</v>
      </c>
      <c r="J22" s="31">
        <f>STDEV(J9:J19)</f>
        <v>0.20247882286428232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50.461949686541132</v>
      </c>
      <c r="J23" s="19">
        <f>J22/J21*100</f>
        <v>3.2390372512314727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0.20247882286428232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3" sqref="B3:D3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7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{F3C9C841-2100-46A3-8277-A2E9EE7CA75F}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C9C841-2100-46A3-8277-A2E9EE7CA75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45"/>
  <sheetViews>
    <sheetView zoomScale="70" zoomScaleNormal="70" workbookViewId="0">
      <selection activeCell="M8" sqref="M8"/>
    </sheetView>
  </sheetViews>
  <sheetFormatPr defaultColWidth="11.44140625" defaultRowHeight="13.2" x14ac:dyDescent="0.25"/>
  <cols>
    <col min="1" max="1" width="13.109375" customWidth="1"/>
    <col min="9" max="9" width="16.88671875" bestFit="1" customWidth="1"/>
    <col min="10" max="10" width="12.109375" customWidth="1"/>
    <col min="12" max="12" width="16.33203125" customWidth="1"/>
    <col min="13" max="13" width="26.109375" customWidth="1"/>
    <col min="14" max="14" width="22" customWidth="1"/>
  </cols>
  <sheetData>
    <row r="1" spans="1:14" ht="17.399999999999999" x14ac:dyDescent="0.3">
      <c r="A1" s="39" t="s">
        <v>90</v>
      </c>
    </row>
    <row r="3" spans="1:14" x14ac:dyDescent="0.25">
      <c r="A3" s="1" t="s">
        <v>91</v>
      </c>
      <c r="B3" s="201" t="s">
        <v>280</v>
      </c>
      <c r="C3" s="202"/>
      <c r="D3" s="203"/>
      <c r="F3" s="3" t="s">
        <v>116</v>
      </c>
    </row>
    <row r="4" spans="1:14" x14ac:dyDescent="0.25">
      <c r="A4" s="1" t="s">
        <v>92</v>
      </c>
      <c r="B4" s="201" t="s">
        <v>113</v>
      </c>
      <c r="C4" s="202"/>
      <c r="D4" s="203"/>
      <c r="F4" s="229" t="s">
        <v>163</v>
      </c>
      <c r="G4" s="230"/>
      <c r="H4" s="230"/>
      <c r="I4" s="231"/>
    </row>
    <row r="5" spans="1:14" x14ac:dyDescent="0.25">
      <c r="A5" s="24" t="s">
        <v>94</v>
      </c>
      <c r="B5" s="201" t="s">
        <v>55</v>
      </c>
      <c r="C5" s="202"/>
      <c r="D5" s="203"/>
      <c r="H5" s="24" t="s">
        <v>115</v>
      </c>
      <c r="I5" s="28" t="s">
        <v>117</v>
      </c>
    </row>
    <row r="6" spans="1:14" x14ac:dyDescent="0.25">
      <c r="A6" s="24" t="s">
        <v>93</v>
      </c>
      <c r="B6" s="232"/>
      <c r="C6" s="232"/>
      <c r="D6" s="232"/>
    </row>
    <row r="7" spans="1:14" ht="13.8" thickBot="1" x14ac:dyDescent="0.3"/>
    <row r="8" spans="1:14" ht="16.2" thickBot="1" x14ac:dyDescent="0.3">
      <c r="A8" s="91" t="s">
        <v>10</v>
      </c>
      <c r="B8" s="92" t="s">
        <v>4</v>
      </c>
      <c r="C8" s="93" t="s">
        <v>0</v>
      </c>
      <c r="D8" s="94" t="s">
        <v>12</v>
      </c>
      <c r="E8" s="93" t="s">
        <v>8</v>
      </c>
      <c r="F8" s="93" t="s">
        <v>1</v>
      </c>
      <c r="G8" s="94" t="s">
        <v>14</v>
      </c>
      <c r="H8" s="93" t="s">
        <v>9</v>
      </c>
      <c r="I8" s="93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43" t="s">
        <v>56</v>
      </c>
      <c r="B9" s="95">
        <v>1</v>
      </c>
      <c r="C9" s="96">
        <v>5</v>
      </c>
      <c r="D9" s="96">
        <v>2</v>
      </c>
      <c r="E9" s="96">
        <v>118</v>
      </c>
      <c r="F9" s="96">
        <v>6</v>
      </c>
      <c r="G9" s="96">
        <v>2</v>
      </c>
      <c r="H9" s="96">
        <v>18</v>
      </c>
      <c r="I9" s="97">
        <f>H9+E9</f>
        <v>136</v>
      </c>
      <c r="J9" s="98">
        <f t="shared" ref="J9:J28" si="0">IF(I9&gt;29,I9/(D9+0.1*G9)*10^(C9),"")</f>
        <v>6181818.1818181816</v>
      </c>
      <c r="K9" s="99">
        <f>IF(I9&gt;29,LOG10(J9),"")</f>
        <v>6.7911162275480113</v>
      </c>
      <c r="L9" s="233">
        <f>IF(I9&gt;29, AVERAGE(K9:K10),"")</f>
        <v>6.9189298155451686</v>
      </c>
      <c r="M9" s="235">
        <f>IF(I9&gt;29,(K9-L9)^2,"")</f>
        <v>1.6336313276707089E-2</v>
      </c>
      <c r="N9" s="237">
        <f>IF(I9&gt;29,COUNT(K9:K10)-1,"")</f>
        <v>1</v>
      </c>
    </row>
    <row r="10" spans="1:14" x14ac:dyDescent="0.25">
      <c r="A10" s="240"/>
      <c r="B10" s="100">
        <v>2</v>
      </c>
      <c r="C10" s="101">
        <v>5</v>
      </c>
      <c r="D10" s="101">
        <v>2</v>
      </c>
      <c r="E10" s="101">
        <v>220</v>
      </c>
      <c r="F10" s="101">
        <v>6</v>
      </c>
      <c r="G10" s="101">
        <v>2</v>
      </c>
      <c r="H10" s="101">
        <v>25</v>
      </c>
      <c r="I10" s="102">
        <f t="shared" ref="I10:I28" si="1">H10+E10</f>
        <v>245</v>
      </c>
      <c r="J10" s="103">
        <f>IF(I10&gt;29,I10/(D10+0.1*G10)*10^(C10),"")</f>
        <v>11136363.636363637</v>
      </c>
      <c r="K10" s="104">
        <f>IF(I10&gt;29,LOG10(J10),"")</f>
        <v>7.046743403542326</v>
      </c>
      <c r="L10" s="234"/>
      <c r="M10" s="236"/>
      <c r="N10" s="238"/>
    </row>
    <row r="11" spans="1:14" x14ac:dyDescent="0.25">
      <c r="A11" s="239" t="s">
        <v>57</v>
      </c>
      <c r="B11" s="105">
        <v>3</v>
      </c>
      <c r="C11" s="106">
        <v>5</v>
      </c>
      <c r="D11" s="106">
        <v>2</v>
      </c>
      <c r="E11" s="106">
        <v>191</v>
      </c>
      <c r="F11" s="96"/>
      <c r="G11" s="96"/>
      <c r="H11" s="106"/>
      <c r="I11" s="107">
        <f t="shared" si="1"/>
        <v>191</v>
      </c>
      <c r="J11" s="108">
        <f t="shared" si="0"/>
        <v>9550000</v>
      </c>
      <c r="K11" s="109">
        <f t="shared" ref="K11:K28" si="2">IF(I11&gt;29,LOG10(J11),"")</f>
        <v>6.980003371583746</v>
      </c>
      <c r="L11" s="241">
        <f>IF(I11&gt;29, AVERAGE(K11:K12),"")</f>
        <v>6.9521413288228135</v>
      </c>
      <c r="M11" s="242">
        <f>IF(I11&gt;29,(K11-L11)^2,"")</f>
        <v>7.7629342681202577E-4</v>
      </c>
      <c r="N11" s="237">
        <f>IF(I11&gt;29,COUNT(K11:K12)-1,"")</f>
        <v>1</v>
      </c>
    </row>
    <row r="12" spans="1:14" x14ac:dyDescent="0.25">
      <c r="A12" s="240"/>
      <c r="B12" s="100">
        <v>4</v>
      </c>
      <c r="C12" s="101">
        <v>5</v>
      </c>
      <c r="D12" s="101">
        <v>2</v>
      </c>
      <c r="E12" s="96">
        <v>168</v>
      </c>
      <c r="F12" s="101"/>
      <c r="G12" s="101"/>
      <c r="H12" s="96"/>
      <c r="I12" s="110">
        <f t="shared" si="1"/>
        <v>168</v>
      </c>
      <c r="J12" s="103">
        <f t="shared" si="0"/>
        <v>8400000</v>
      </c>
      <c r="K12" s="104">
        <f t="shared" si="2"/>
        <v>6.924279286061882</v>
      </c>
      <c r="L12" s="234"/>
      <c r="M12" s="236"/>
      <c r="N12" s="238"/>
    </row>
    <row r="13" spans="1:14" x14ac:dyDescent="0.25">
      <c r="A13" s="240" t="s">
        <v>58</v>
      </c>
      <c r="B13" s="105">
        <v>5</v>
      </c>
      <c r="C13" s="96">
        <v>5</v>
      </c>
      <c r="D13" s="96">
        <v>2</v>
      </c>
      <c r="E13" s="106">
        <v>82</v>
      </c>
      <c r="F13" s="96">
        <v>6</v>
      </c>
      <c r="G13" s="96">
        <v>2</v>
      </c>
      <c r="H13" s="106">
        <v>5</v>
      </c>
      <c r="I13" s="107">
        <f t="shared" si="1"/>
        <v>87</v>
      </c>
      <c r="J13" s="108">
        <f t="shared" si="0"/>
        <v>3954545.4545454541</v>
      </c>
      <c r="K13" s="109">
        <f t="shared" si="2"/>
        <v>6.5970965717964125</v>
      </c>
      <c r="L13" s="241">
        <f>IF(I13&gt;29, AVERAGE(K13:K14),"")</f>
        <v>6.5842438716789609</v>
      </c>
      <c r="M13" s="242">
        <f>IF(I13&gt;29,(K13-L13)^2,"")</f>
        <v>1.6519190030914177E-4</v>
      </c>
      <c r="N13" s="237">
        <f>IF(I13&gt;29,COUNT(K13:K14)-1,"")</f>
        <v>1</v>
      </c>
    </row>
    <row r="14" spans="1:14" x14ac:dyDescent="0.25">
      <c r="A14" s="240"/>
      <c r="B14" s="100">
        <v>6</v>
      </c>
      <c r="C14" s="101">
        <v>5</v>
      </c>
      <c r="D14" s="101">
        <v>2</v>
      </c>
      <c r="E14" s="101">
        <v>73</v>
      </c>
      <c r="F14" s="101">
        <v>6</v>
      </c>
      <c r="G14" s="101">
        <v>2</v>
      </c>
      <c r="H14" s="101">
        <v>9</v>
      </c>
      <c r="I14" s="110">
        <f t="shared" si="1"/>
        <v>82</v>
      </c>
      <c r="J14" s="103">
        <f t="shared" si="0"/>
        <v>3727272.7272727266</v>
      </c>
      <c r="K14" s="104">
        <f t="shared" si="2"/>
        <v>6.5713911715615101</v>
      </c>
      <c r="L14" s="234"/>
      <c r="M14" s="236"/>
      <c r="N14" s="238"/>
    </row>
    <row r="15" spans="1:14" x14ac:dyDescent="0.25">
      <c r="A15" s="240" t="s">
        <v>59</v>
      </c>
      <c r="B15" s="105">
        <v>7</v>
      </c>
      <c r="C15" s="106">
        <v>7</v>
      </c>
      <c r="D15" s="106">
        <v>2</v>
      </c>
      <c r="E15" s="106">
        <v>53</v>
      </c>
      <c r="F15" s="96"/>
      <c r="G15" s="96"/>
      <c r="H15" s="106"/>
      <c r="I15" s="107">
        <f t="shared" si="1"/>
        <v>53</v>
      </c>
      <c r="J15" s="108">
        <f t="shared" si="0"/>
        <v>265000000</v>
      </c>
      <c r="K15" s="109">
        <f t="shared" si="2"/>
        <v>8.423245873936807</v>
      </c>
      <c r="L15" s="241">
        <f>IF(I15&gt;29, AVERAGE(K15:K16),"")</f>
        <v>8.4312892838835349</v>
      </c>
      <c r="M15" s="242">
        <f>IF(I15&gt;29,(K15-L15)^2,"")</f>
        <v>6.4696443571121638E-5</v>
      </c>
      <c r="N15" s="237">
        <f>IF(I15&gt;29,COUNT(K15:K16)-1,"")</f>
        <v>1</v>
      </c>
    </row>
    <row r="16" spans="1:14" x14ac:dyDescent="0.25">
      <c r="A16" s="240"/>
      <c r="B16" s="100">
        <v>8</v>
      </c>
      <c r="C16" s="101">
        <v>7</v>
      </c>
      <c r="D16" s="101">
        <v>2</v>
      </c>
      <c r="E16" s="101">
        <v>55</v>
      </c>
      <c r="F16" s="101"/>
      <c r="G16" s="101"/>
      <c r="H16" s="101"/>
      <c r="I16" s="110">
        <f t="shared" si="1"/>
        <v>55</v>
      </c>
      <c r="J16" s="103">
        <f t="shared" si="0"/>
        <v>275000000</v>
      </c>
      <c r="K16" s="104">
        <f t="shared" si="2"/>
        <v>8.4393326938302629</v>
      </c>
      <c r="L16" s="234"/>
      <c r="M16" s="236"/>
      <c r="N16" s="238"/>
    </row>
    <row r="17" spans="1:14" x14ac:dyDescent="0.25">
      <c r="A17" s="240" t="s">
        <v>60</v>
      </c>
      <c r="B17" s="105">
        <v>9</v>
      </c>
      <c r="C17" s="96">
        <v>5</v>
      </c>
      <c r="D17" s="96">
        <v>2</v>
      </c>
      <c r="E17" s="106">
        <v>61</v>
      </c>
      <c r="F17" s="96"/>
      <c r="G17" s="96"/>
      <c r="H17" s="106"/>
      <c r="I17" s="107">
        <f t="shared" si="1"/>
        <v>61</v>
      </c>
      <c r="J17" s="108">
        <f t="shared" si="0"/>
        <v>3050000</v>
      </c>
      <c r="K17" s="109">
        <f t="shared" si="2"/>
        <v>6.4842998393467859</v>
      </c>
      <c r="L17" s="241">
        <f>IF(I17&gt;29, AVERAGE(K17:K18),"")</f>
        <v>6.5638762579164869</v>
      </c>
      <c r="M17" s="242">
        <f>IF(I17&gt;29,(K17-L17)^2,"")</f>
        <v>6.3324063923802529E-3</v>
      </c>
      <c r="N17" s="237">
        <f>IF(I17&gt;29,COUNT(K17:K18)-1,"")</f>
        <v>1</v>
      </c>
    </row>
    <row r="18" spans="1:14" x14ac:dyDescent="0.25">
      <c r="A18" s="240"/>
      <c r="B18" s="100">
        <v>10</v>
      </c>
      <c r="C18" s="101">
        <v>5</v>
      </c>
      <c r="D18" s="101">
        <v>2</v>
      </c>
      <c r="E18" s="101">
        <v>88</v>
      </c>
      <c r="F18" s="101"/>
      <c r="G18" s="101"/>
      <c r="H18" s="101"/>
      <c r="I18" s="110">
        <f t="shared" si="1"/>
        <v>88</v>
      </c>
      <c r="J18" s="103">
        <f t="shared" si="0"/>
        <v>4400000</v>
      </c>
      <c r="K18" s="104">
        <f t="shared" si="2"/>
        <v>6.6434526764861879</v>
      </c>
      <c r="L18" s="234"/>
      <c r="M18" s="236"/>
      <c r="N18" s="238"/>
    </row>
    <row r="19" spans="1:14" x14ac:dyDescent="0.25">
      <c r="A19" s="240" t="s">
        <v>61</v>
      </c>
      <c r="B19" s="105">
        <v>11</v>
      </c>
      <c r="C19" s="106">
        <v>5</v>
      </c>
      <c r="D19" s="106">
        <v>2</v>
      </c>
      <c r="E19" s="106">
        <v>319</v>
      </c>
      <c r="F19" s="96">
        <v>6</v>
      </c>
      <c r="G19" s="96">
        <v>2</v>
      </c>
      <c r="H19" s="106">
        <v>48</v>
      </c>
      <c r="I19" s="107">
        <f t="shared" si="1"/>
        <v>367</v>
      </c>
      <c r="J19" s="108">
        <f t="shared" si="0"/>
        <v>16681818.181818182</v>
      </c>
      <c r="K19" s="109">
        <f t="shared" si="2"/>
        <v>7.2222433834298831</v>
      </c>
      <c r="L19" s="241">
        <f>IF(I19&gt;29, AVERAGE(K19:K20),"")</f>
        <v>7.2791695408238954</v>
      </c>
      <c r="M19" s="242">
        <f>IF(I19&gt;29,(K19-L19)^2,"")</f>
        <v>3.2405873956478613E-3</v>
      </c>
      <c r="N19" s="237">
        <f>IF(I19&gt;29,COUNT(K19:K20)-1,"")</f>
        <v>1</v>
      </c>
    </row>
    <row r="20" spans="1:14" x14ac:dyDescent="0.25">
      <c r="A20" s="240"/>
      <c r="B20" s="100">
        <v>12</v>
      </c>
      <c r="C20" s="96">
        <v>5</v>
      </c>
      <c r="D20" s="96">
        <v>2</v>
      </c>
      <c r="E20" s="101">
        <v>410</v>
      </c>
      <c r="F20" s="101">
        <v>6</v>
      </c>
      <c r="G20" s="101">
        <v>2</v>
      </c>
      <c r="H20" s="101">
        <v>67</v>
      </c>
      <c r="I20" s="110">
        <f t="shared" si="1"/>
        <v>477</v>
      </c>
      <c r="J20" s="103">
        <f t="shared" si="0"/>
        <v>21681818.18181818</v>
      </c>
      <c r="K20" s="104">
        <f t="shared" si="2"/>
        <v>7.3360956982179077</v>
      </c>
      <c r="L20" s="234"/>
      <c r="M20" s="236"/>
      <c r="N20" s="238"/>
    </row>
    <row r="21" spans="1:14" x14ac:dyDescent="0.25">
      <c r="A21" s="240" t="s">
        <v>62</v>
      </c>
      <c r="B21" s="105">
        <v>13</v>
      </c>
      <c r="C21" s="106">
        <v>6</v>
      </c>
      <c r="D21" s="106">
        <v>2</v>
      </c>
      <c r="E21" s="106">
        <v>44</v>
      </c>
      <c r="F21" s="106">
        <v>7</v>
      </c>
      <c r="G21" s="106">
        <v>2</v>
      </c>
      <c r="H21" s="106">
        <v>6</v>
      </c>
      <c r="I21" s="107">
        <f t="shared" si="1"/>
        <v>50</v>
      </c>
      <c r="J21" s="108">
        <f t="shared" si="0"/>
        <v>22727272.727272727</v>
      </c>
      <c r="K21" s="109">
        <f t="shared" si="2"/>
        <v>7.3565473235138121</v>
      </c>
      <c r="L21" s="241">
        <f>IF(I21&gt;29, AVERAGE(K21:K22),"")</f>
        <v>7.3732592012572873</v>
      </c>
      <c r="M21" s="242">
        <f>IF(I21&gt;29,(K21-L21)^2,"")</f>
        <v>2.7928685771286027E-4</v>
      </c>
      <c r="N21" s="237">
        <f>IF(I21&gt;29,COUNT(K21:K22)-1,"")</f>
        <v>1</v>
      </c>
    </row>
    <row r="22" spans="1:14" x14ac:dyDescent="0.25">
      <c r="A22" s="240"/>
      <c r="B22" s="100">
        <v>14</v>
      </c>
      <c r="C22" s="101">
        <v>6</v>
      </c>
      <c r="D22" s="101">
        <v>2</v>
      </c>
      <c r="E22" s="101">
        <v>47</v>
      </c>
      <c r="F22" s="101">
        <v>7</v>
      </c>
      <c r="G22" s="101">
        <v>2</v>
      </c>
      <c r="H22" s="101">
        <v>7</v>
      </c>
      <c r="I22" s="110">
        <f t="shared" si="1"/>
        <v>54</v>
      </c>
      <c r="J22" s="103">
        <f t="shared" si="0"/>
        <v>24545454.545454543</v>
      </c>
      <c r="K22" s="104">
        <f t="shared" si="2"/>
        <v>7.3899710790007624</v>
      </c>
      <c r="L22" s="234"/>
      <c r="M22" s="236"/>
      <c r="N22" s="238"/>
    </row>
    <row r="23" spans="1:14" x14ac:dyDescent="0.25">
      <c r="A23" s="240" t="s">
        <v>63</v>
      </c>
      <c r="B23" s="105">
        <v>15</v>
      </c>
      <c r="C23" s="106">
        <v>7</v>
      </c>
      <c r="D23" s="106">
        <v>2</v>
      </c>
      <c r="E23" s="106">
        <v>187</v>
      </c>
      <c r="F23" s="106"/>
      <c r="G23" s="106"/>
      <c r="H23" s="106"/>
      <c r="I23" s="107">
        <f t="shared" si="1"/>
        <v>187</v>
      </c>
      <c r="J23" s="108">
        <f t="shared" si="0"/>
        <v>935000000</v>
      </c>
      <c r="K23" s="109">
        <f t="shared" si="2"/>
        <v>8.9708116108725182</v>
      </c>
      <c r="L23" s="241">
        <f>IF(I23&gt;29, AVERAGE(K23:K24),"")</f>
        <v>9.008067294829587</v>
      </c>
      <c r="M23" s="242">
        <f>IF(I23&gt;29,(K23-L23)^2,"")</f>
        <v>1.3879859871089933E-3</v>
      </c>
      <c r="N23" s="237">
        <f>IF(I23&gt;29,COUNT(K23:K24)-1,"")</f>
        <v>1</v>
      </c>
    </row>
    <row r="24" spans="1:14" x14ac:dyDescent="0.25">
      <c r="A24" s="240"/>
      <c r="B24" s="100">
        <v>16</v>
      </c>
      <c r="C24" s="101">
        <v>7</v>
      </c>
      <c r="D24" s="101">
        <v>2</v>
      </c>
      <c r="E24" s="101">
        <v>222</v>
      </c>
      <c r="F24" s="101"/>
      <c r="G24" s="101"/>
      <c r="H24" s="101"/>
      <c r="I24" s="110">
        <f t="shared" si="1"/>
        <v>222</v>
      </c>
      <c r="J24" s="103">
        <f t="shared" si="0"/>
        <v>1110000000</v>
      </c>
      <c r="K24" s="104">
        <f t="shared" si="2"/>
        <v>9.0453229787866576</v>
      </c>
      <c r="L24" s="234"/>
      <c r="M24" s="236"/>
      <c r="N24" s="238"/>
    </row>
    <row r="25" spans="1:14" x14ac:dyDescent="0.25">
      <c r="A25" s="240" t="s">
        <v>64</v>
      </c>
      <c r="B25" s="105">
        <v>17</v>
      </c>
      <c r="C25" s="106">
        <v>5</v>
      </c>
      <c r="D25" s="106">
        <v>2</v>
      </c>
      <c r="E25" s="106">
        <v>202</v>
      </c>
      <c r="F25" s="96">
        <v>6</v>
      </c>
      <c r="G25" s="96">
        <v>2</v>
      </c>
      <c r="H25" s="106">
        <v>22</v>
      </c>
      <c r="I25" s="107">
        <f t="shared" si="1"/>
        <v>224</v>
      </c>
      <c r="J25" s="108">
        <f t="shared" si="0"/>
        <v>10181818.181818182</v>
      </c>
      <c r="K25" s="109">
        <f t="shared" si="2"/>
        <v>7.0078253375119566</v>
      </c>
      <c r="L25" s="241">
        <f>IF(I25&gt;29, AVERAGE(K25:K26),"")</f>
        <v>6.9896349385294521</v>
      </c>
      <c r="M25" s="242">
        <f>IF(I25&gt;29,(K25-L25)^2,"")</f>
        <v>3.3089061514270145E-4</v>
      </c>
      <c r="N25" s="237">
        <f>IF(I25&gt;29,COUNT(K25:K26)-1,"")</f>
        <v>1</v>
      </c>
    </row>
    <row r="26" spans="1:14" x14ac:dyDescent="0.25">
      <c r="A26" s="240"/>
      <c r="B26" s="100">
        <v>18</v>
      </c>
      <c r="C26" s="101">
        <v>5</v>
      </c>
      <c r="D26" s="101">
        <v>2</v>
      </c>
      <c r="E26" s="101">
        <v>189</v>
      </c>
      <c r="F26" s="101">
        <v>6</v>
      </c>
      <c r="G26" s="101">
        <v>2</v>
      </c>
      <c r="H26" s="101">
        <v>17</v>
      </c>
      <c r="I26" s="110">
        <f t="shared" si="1"/>
        <v>206</v>
      </c>
      <c r="J26" s="103">
        <f t="shared" si="0"/>
        <v>9363636.3636363633</v>
      </c>
      <c r="K26" s="104">
        <f t="shared" si="2"/>
        <v>6.9714445395469475</v>
      </c>
      <c r="L26" s="234"/>
      <c r="M26" s="236"/>
      <c r="N26" s="238"/>
    </row>
    <row r="27" spans="1:14" x14ac:dyDescent="0.25">
      <c r="A27" s="240" t="s">
        <v>65</v>
      </c>
      <c r="B27" s="95">
        <v>19</v>
      </c>
      <c r="C27" s="96">
        <v>6</v>
      </c>
      <c r="D27" s="96">
        <v>2</v>
      </c>
      <c r="E27" s="96">
        <v>100</v>
      </c>
      <c r="F27" s="96"/>
      <c r="G27" s="96"/>
      <c r="H27" s="96"/>
      <c r="I27" s="97">
        <f t="shared" si="1"/>
        <v>100</v>
      </c>
      <c r="J27" s="98">
        <f t="shared" si="0"/>
        <v>50000000</v>
      </c>
      <c r="K27" s="99">
        <f t="shared" si="2"/>
        <v>7.6989700043360187</v>
      </c>
      <c r="L27" s="241">
        <f>IF(I27&gt;29, AVERAGE(K27:K28),"")</f>
        <v>7.7053886166886052</v>
      </c>
      <c r="M27" s="242">
        <f>IF(I27&gt;29,(K27-L27)^2,"")</f>
        <v>4.1198584532775367E-5</v>
      </c>
      <c r="N27" s="237">
        <f>IF(I27&gt;29,COUNT(K27:K28)-1,"")</f>
        <v>1</v>
      </c>
    </row>
    <row r="28" spans="1:14" ht="13.8" thickBot="1" x14ac:dyDescent="0.3">
      <c r="A28" s="244"/>
      <c r="B28" s="111">
        <v>20</v>
      </c>
      <c r="C28" s="112">
        <v>6</v>
      </c>
      <c r="D28" s="112">
        <v>2</v>
      </c>
      <c r="E28" s="112">
        <v>103</v>
      </c>
      <c r="F28" s="112"/>
      <c r="G28" s="112"/>
      <c r="H28" s="112"/>
      <c r="I28" s="113">
        <f t="shared" si="1"/>
        <v>103</v>
      </c>
      <c r="J28" s="114">
        <f t="shared" si="0"/>
        <v>51500000</v>
      </c>
      <c r="K28" s="115">
        <f t="shared" si="2"/>
        <v>7.7118072290411908</v>
      </c>
      <c r="L28" s="245"/>
      <c r="M28" s="246"/>
      <c r="N28" s="238"/>
    </row>
    <row r="29" spans="1:14" ht="13.8" thickBot="1" x14ac:dyDescent="0.3">
      <c r="L29" s="3" t="s">
        <v>106</v>
      </c>
      <c r="M29" s="116">
        <f>SUM(M9:M28)</f>
        <v>2.8954850879924818E-2</v>
      </c>
      <c r="N29" s="117">
        <f>SUM(N9:N28)</f>
        <v>10</v>
      </c>
    </row>
    <row r="30" spans="1:14" ht="13.8" thickBot="1" x14ac:dyDescent="0.3">
      <c r="A30" s="118" t="s">
        <v>95</v>
      </c>
      <c r="I30" s="119"/>
      <c r="J30" s="120"/>
      <c r="K30" s="121"/>
      <c r="L30" s="3" t="s">
        <v>110</v>
      </c>
      <c r="M30" s="122">
        <f>2*M29</f>
        <v>5.7909701759849636E-2</v>
      </c>
    </row>
    <row r="31" spans="1:14" ht="13.8" thickBot="1" x14ac:dyDescent="0.3">
      <c r="A31" s="200"/>
      <c r="B31" s="200"/>
      <c r="C31" s="200"/>
      <c r="D31" s="200"/>
      <c r="E31" s="200"/>
      <c r="F31" s="200"/>
      <c r="G31" s="200"/>
      <c r="H31" s="200"/>
      <c r="I31" s="123"/>
      <c r="J31" s="120"/>
      <c r="K31" s="124"/>
    </row>
    <row r="32" spans="1:14" ht="15.6" x14ac:dyDescent="0.35">
      <c r="A32" s="200"/>
      <c r="B32" s="200"/>
      <c r="C32" s="200"/>
      <c r="D32" s="200"/>
      <c r="E32" s="200"/>
      <c r="F32" s="200"/>
      <c r="G32" s="200"/>
      <c r="H32" s="200"/>
      <c r="I32" s="123"/>
      <c r="J32" s="125"/>
      <c r="K32" s="125"/>
      <c r="M32" s="80" t="s">
        <v>107</v>
      </c>
    </row>
    <row r="33" spans="1:13" ht="13.8" thickBot="1" x14ac:dyDescent="0.3">
      <c r="A33" s="200"/>
      <c r="B33" s="200"/>
      <c r="C33" s="200"/>
      <c r="D33" s="200"/>
      <c r="E33" s="200"/>
      <c r="F33" s="200"/>
      <c r="G33" s="200"/>
      <c r="H33" s="200"/>
      <c r="M33" s="126">
        <f>(M30/N29)^0.5</f>
        <v>7.609842426742465E-2</v>
      </c>
    </row>
    <row r="34" spans="1:13" x14ac:dyDescent="0.25">
      <c r="A34" s="200"/>
      <c r="B34" s="200"/>
      <c r="C34" s="200"/>
      <c r="D34" s="200"/>
      <c r="E34" s="200"/>
      <c r="F34" s="200"/>
      <c r="G34" s="200"/>
      <c r="H34" s="200"/>
      <c r="J34" s="1"/>
      <c r="K34" s="127"/>
    </row>
    <row r="35" spans="1:13" x14ac:dyDescent="0.25">
      <c r="A35" s="200"/>
      <c r="B35" s="200"/>
      <c r="C35" s="200"/>
      <c r="D35" s="200"/>
      <c r="E35" s="200"/>
      <c r="F35" s="200"/>
      <c r="G35" s="200"/>
      <c r="H35" s="200"/>
      <c r="J35" s="119"/>
      <c r="K35" s="128"/>
    </row>
    <row r="36" spans="1:13" x14ac:dyDescent="0.25">
      <c r="A36" s="200"/>
      <c r="B36" s="200"/>
      <c r="C36" s="200"/>
      <c r="D36" s="200"/>
      <c r="E36" s="200"/>
      <c r="F36" s="200"/>
      <c r="G36" s="200"/>
      <c r="H36" s="200"/>
    </row>
    <row r="37" spans="1:13" x14ac:dyDescent="0.25">
      <c r="A37" s="200"/>
      <c r="B37" s="200"/>
      <c r="C37" s="200"/>
      <c r="D37" s="200"/>
      <c r="E37" s="200"/>
      <c r="F37" s="200"/>
      <c r="G37" s="200"/>
      <c r="H37" s="200"/>
    </row>
    <row r="39" spans="1:13" x14ac:dyDescent="0.25">
      <c r="A39" t="s">
        <v>102</v>
      </c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70">
      <selection activeCell="N51" sqref="N51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45"/>
  <sheetViews>
    <sheetView zoomScale="70" zoomScaleNormal="70" workbookViewId="0">
      <selection activeCell="M8" sqref="M8"/>
    </sheetView>
  </sheetViews>
  <sheetFormatPr defaultColWidth="11.44140625" defaultRowHeight="13.2" x14ac:dyDescent="0.25"/>
  <cols>
    <col min="1" max="1" width="13.109375" customWidth="1"/>
    <col min="9" max="9" width="16.88671875" bestFit="1" customWidth="1"/>
    <col min="10" max="10" width="12.109375" customWidth="1"/>
    <col min="12" max="12" width="16.33203125" customWidth="1"/>
    <col min="13" max="13" width="27.109375" customWidth="1"/>
    <col min="14" max="14" width="20.6640625" customWidth="1"/>
  </cols>
  <sheetData>
    <row r="1" spans="1:14" ht="17.399999999999999" x14ac:dyDescent="0.3">
      <c r="A1" s="39" t="s">
        <v>90</v>
      </c>
    </row>
    <row r="3" spans="1:14" x14ac:dyDescent="0.25">
      <c r="A3" s="1" t="s">
        <v>91</v>
      </c>
      <c r="B3" s="201" t="s">
        <v>280</v>
      </c>
      <c r="C3" s="202"/>
      <c r="D3" s="203"/>
      <c r="F3" s="3" t="s">
        <v>116</v>
      </c>
    </row>
    <row r="4" spans="1:14" x14ac:dyDescent="0.25">
      <c r="A4" s="1" t="s">
        <v>92</v>
      </c>
      <c r="B4" s="201" t="s">
        <v>164</v>
      </c>
      <c r="C4" s="202"/>
      <c r="D4" s="203"/>
      <c r="F4" s="229" t="s">
        <v>163</v>
      </c>
      <c r="G4" s="230"/>
      <c r="H4" s="230"/>
      <c r="I4" s="231"/>
    </row>
    <row r="5" spans="1:14" x14ac:dyDescent="0.25">
      <c r="A5" s="24" t="s">
        <v>94</v>
      </c>
      <c r="B5" s="201" t="s">
        <v>55</v>
      </c>
      <c r="C5" s="202"/>
      <c r="D5" s="203"/>
      <c r="H5" s="24" t="s">
        <v>115</v>
      </c>
      <c r="I5" s="28" t="s">
        <v>117</v>
      </c>
    </row>
    <row r="6" spans="1:14" x14ac:dyDescent="0.25">
      <c r="A6" s="24" t="s">
        <v>93</v>
      </c>
      <c r="B6" s="232"/>
      <c r="C6" s="232"/>
      <c r="D6" s="232"/>
    </row>
    <row r="7" spans="1:14" ht="13.8" thickBot="1" x14ac:dyDescent="0.3"/>
    <row r="8" spans="1:14" ht="16.2" thickBot="1" x14ac:dyDescent="0.3">
      <c r="A8" s="91" t="s">
        <v>10</v>
      </c>
      <c r="B8" s="92" t="s">
        <v>4</v>
      </c>
      <c r="C8" s="93" t="s">
        <v>0</v>
      </c>
      <c r="D8" s="94" t="s">
        <v>12</v>
      </c>
      <c r="E8" s="93" t="s">
        <v>8</v>
      </c>
      <c r="F8" s="93" t="s">
        <v>1</v>
      </c>
      <c r="G8" s="94" t="s">
        <v>14</v>
      </c>
      <c r="H8" s="93" t="s">
        <v>9</v>
      </c>
      <c r="I8" s="93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43" t="s">
        <v>56</v>
      </c>
      <c r="B9" s="95">
        <v>1</v>
      </c>
      <c r="C9" s="96">
        <v>3</v>
      </c>
      <c r="D9" s="96">
        <v>2</v>
      </c>
      <c r="E9" s="96">
        <v>222</v>
      </c>
      <c r="F9" s="96">
        <v>4</v>
      </c>
      <c r="G9" s="96">
        <v>2</v>
      </c>
      <c r="H9" s="96">
        <v>38</v>
      </c>
      <c r="I9" s="97">
        <f>H9+E9</f>
        <v>260</v>
      </c>
      <c r="J9" s="98">
        <f t="shared" ref="J9:J28" si="0">IF(I9&gt;29,I9/(D9+0.1*G9)*10^(C9),"")</f>
        <v>118181.81818181818</v>
      </c>
      <c r="K9" s="99">
        <f>IF(I9&gt;29,LOG10(J9),"")</f>
        <v>5.0725506671486116</v>
      </c>
      <c r="L9" s="233">
        <f>IF(I9&gt;29, AVERAGE(K9:K10),"")</f>
        <v>5.1867903314062964</v>
      </c>
      <c r="M9" s="235">
        <f>IF(I9&gt;29,(K9-L9)^2,"")</f>
        <v>1.3050700889708554E-2</v>
      </c>
      <c r="N9" s="237">
        <f>IF(I9&gt;29,COUNT(K9:K10)-1,"")</f>
        <v>1</v>
      </c>
    </row>
    <row r="10" spans="1:14" x14ac:dyDescent="0.25">
      <c r="A10" s="240"/>
      <c r="B10" s="100">
        <v>2</v>
      </c>
      <c r="C10" s="101">
        <v>3</v>
      </c>
      <c r="D10" s="101">
        <v>2</v>
      </c>
      <c r="E10" s="101">
        <v>399</v>
      </c>
      <c r="F10" s="101">
        <v>4</v>
      </c>
      <c r="G10" s="101">
        <v>2</v>
      </c>
      <c r="H10" s="101">
        <v>41</v>
      </c>
      <c r="I10" s="102">
        <f t="shared" ref="I10:I28" si="1">H10+E10</f>
        <v>440</v>
      </c>
      <c r="J10" s="103">
        <f>IF(I10&gt;29,I10/(D10+0.1*G10)*10^(C10),"")</f>
        <v>199999.99999999997</v>
      </c>
      <c r="K10" s="104">
        <f>IF(I10&gt;29,LOG10(J10),"")</f>
        <v>5.3010299956639813</v>
      </c>
      <c r="L10" s="234"/>
      <c r="M10" s="236"/>
      <c r="N10" s="238"/>
    </row>
    <row r="11" spans="1:14" x14ac:dyDescent="0.25">
      <c r="A11" s="247" t="s">
        <v>59</v>
      </c>
      <c r="B11" s="105">
        <v>3</v>
      </c>
      <c r="C11" s="106">
        <v>5</v>
      </c>
      <c r="D11" s="106">
        <v>2</v>
      </c>
      <c r="E11" s="106">
        <v>43</v>
      </c>
      <c r="F11" s="106">
        <v>6</v>
      </c>
      <c r="G11" s="106">
        <v>2</v>
      </c>
      <c r="H11" s="106">
        <v>5</v>
      </c>
      <c r="I11" s="107">
        <f t="shared" si="1"/>
        <v>48</v>
      </c>
      <c r="J11" s="108">
        <f t="shared" ref="J11:J14" si="2">IF(I11&gt;29,I11/(D11+0.1*G11)*10^(C11),"")</f>
        <v>2181818.1818181816</v>
      </c>
      <c r="K11" s="109">
        <f t="shared" ref="K11:K28" si="3">IF(I11&gt;29,LOG10(J11),"")</f>
        <v>6.338818556553381</v>
      </c>
      <c r="L11" s="241">
        <f>IF(I11&gt;29, AVERAGE(K11:K12),"")</f>
        <v>6.3149321656553807</v>
      </c>
      <c r="M11" s="242">
        <f>IF(I11&gt;29,(K11-L11)^2,"")</f>
        <v>5.7055967013206995E-4</v>
      </c>
      <c r="N11" s="251">
        <f>IF(I11&gt;29,COUNT(K11:K12)-1,"")</f>
        <v>1</v>
      </c>
    </row>
    <row r="12" spans="1:14" x14ac:dyDescent="0.25">
      <c r="A12" s="248"/>
      <c r="B12" s="100">
        <v>4</v>
      </c>
      <c r="C12" s="96">
        <v>5</v>
      </c>
      <c r="D12" s="96">
        <v>2</v>
      </c>
      <c r="E12" s="101">
        <v>38</v>
      </c>
      <c r="F12" s="101">
        <v>6</v>
      </c>
      <c r="G12" s="101">
        <v>2</v>
      </c>
      <c r="H12" s="101">
        <v>5</v>
      </c>
      <c r="I12" s="110">
        <f t="shared" si="1"/>
        <v>43</v>
      </c>
      <c r="J12" s="103">
        <f t="shared" si="2"/>
        <v>1954545.4545454544</v>
      </c>
      <c r="K12" s="104">
        <f t="shared" si="3"/>
        <v>6.2910457747573805</v>
      </c>
      <c r="L12" s="249"/>
      <c r="M12" s="250"/>
      <c r="N12" s="252"/>
    </row>
    <row r="13" spans="1:14" x14ac:dyDescent="0.25">
      <c r="A13" s="247" t="s">
        <v>64</v>
      </c>
      <c r="B13" s="95">
        <v>5</v>
      </c>
      <c r="C13" s="106">
        <v>4</v>
      </c>
      <c r="D13" s="106">
        <v>2</v>
      </c>
      <c r="E13" s="106">
        <v>91</v>
      </c>
      <c r="F13" s="106"/>
      <c r="G13" s="106"/>
      <c r="H13" s="106"/>
      <c r="I13" s="107">
        <f t="shared" si="1"/>
        <v>91</v>
      </c>
      <c r="J13" s="108">
        <f t="shared" si="2"/>
        <v>455000</v>
      </c>
      <c r="K13" s="109">
        <f t="shared" si="3"/>
        <v>5.6580113966571126</v>
      </c>
      <c r="L13" s="241">
        <f>IF(I13&gt;29, AVERAGE(K13:K14),"")</f>
        <v>5.604119874856103</v>
      </c>
      <c r="M13" s="242">
        <f>IF(I13&gt;29,(K13-L13)^2,"")</f>
        <v>2.9042961220286977E-3</v>
      </c>
      <c r="N13" s="251">
        <f>IF(I13&gt;29,COUNT(K13:K14)-1,"")</f>
        <v>1</v>
      </c>
    </row>
    <row r="14" spans="1:14" x14ac:dyDescent="0.25">
      <c r="A14" s="248"/>
      <c r="B14" s="100">
        <v>6</v>
      </c>
      <c r="C14" s="101">
        <v>4</v>
      </c>
      <c r="D14" s="101">
        <v>2</v>
      </c>
      <c r="E14" s="101">
        <v>71</v>
      </c>
      <c r="F14" s="101"/>
      <c r="G14" s="101"/>
      <c r="H14" s="101"/>
      <c r="I14" s="110">
        <f t="shared" si="1"/>
        <v>71</v>
      </c>
      <c r="J14" s="103">
        <f t="shared" si="2"/>
        <v>355000</v>
      </c>
      <c r="K14" s="104">
        <f t="shared" si="3"/>
        <v>5.5502283530550942</v>
      </c>
      <c r="L14" s="249"/>
      <c r="M14" s="250"/>
      <c r="N14" s="252"/>
    </row>
    <row r="15" spans="1:14" x14ac:dyDescent="0.25">
      <c r="A15" s="240" t="s">
        <v>66</v>
      </c>
      <c r="B15" s="105">
        <v>7</v>
      </c>
      <c r="C15" s="106">
        <v>5</v>
      </c>
      <c r="D15" s="106">
        <v>2</v>
      </c>
      <c r="E15" s="106">
        <v>35</v>
      </c>
      <c r="F15" s="106"/>
      <c r="G15" s="106"/>
      <c r="H15" s="106"/>
      <c r="I15" s="107">
        <f t="shared" si="1"/>
        <v>35</v>
      </c>
      <c r="J15" s="108">
        <f t="shared" si="0"/>
        <v>1750000</v>
      </c>
      <c r="K15" s="109">
        <f t="shared" si="3"/>
        <v>6.2430380486862944</v>
      </c>
      <c r="L15" s="241">
        <f>IF(I15&gt;29, AVERAGE(K15:K16),"")</f>
        <v>6.2166848734282931</v>
      </c>
      <c r="M15" s="242">
        <f>IF(I15&gt;29,(K15-L15)^2,"")</f>
        <v>6.9448984617893157E-4</v>
      </c>
      <c r="N15" s="237">
        <f>IF(I15&gt;29,COUNT(K15:K16)-1,"")</f>
        <v>1</v>
      </c>
    </row>
    <row r="16" spans="1:14" x14ac:dyDescent="0.25">
      <c r="A16" s="240"/>
      <c r="B16" s="100">
        <v>8</v>
      </c>
      <c r="C16" s="96">
        <v>5</v>
      </c>
      <c r="D16" s="96">
        <v>2</v>
      </c>
      <c r="E16" s="101">
        <v>31</v>
      </c>
      <c r="F16" s="101"/>
      <c r="G16" s="101"/>
      <c r="H16" s="101"/>
      <c r="I16" s="110">
        <f t="shared" si="1"/>
        <v>31</v>
      </c>
      <c r="J16" s="103">
        <f t="shared" si="0"/>
        <v>1550000</v>
      </c>
      <c r="K16" s="104">
        <f t="shared" si="3"/>
        <v>6.1903316981702918</v>
      </c>
      <c r="L16" s="234"/>
      <c r="M16" s="236"/>
      <c r="N16" s="238"/>
    </row>
    <row r="17" spans="1:14" x14ac:dyDescent="0.25">
      <c r="A17" s="240" t="s">
        <v>67</v>
      </c>
      <c r="B17" s="95">
        <v>9</v>
      </c>
      <c r="C17" s="106">
        <v>3</v>
      </c>
      <c r="D17" s="106">
        <v>2</v>
      </c>
      <c r="E17" s="106">
        <v>77</v>
      </c>
      <c r="F17" s="106"/>
      <c r="G17" s="106"/>
      <c r="H17" s="106"/>
      <c r="I17" s="107">
        <f t="shared" si="1"/>
        <v>77</v>
      </c>
      <c r="J17" s="108">
        <f t="shared" si="0"/>
        <v>38500</v>
      </c>
      <c r="K17" s="109">
        <f t="shared" si="3"/>
        <v>4.585460729508501</v>
      </c>
      <c r="L17" s="241">
        <f>IF(I17&gt;29, AVERAGE(K17:K18),"")</f>
        <v>4.6310771695666837</v>
      </c>
      <c r="M17" s="242">
        <f>IF(I17&gt;29,(K17-L17)^2,"")</f>
        <v>2.0808596035817718E-3</v>
      </c>
      <c r="N17" s="237">
        <f>IF(I17&gt;29,COUNT(K17:K18)-1,"")</f>
        <v>1</v>
      </c>
    </row>
    <row r="18" spans="1:14" x14ac:dyDescent="0.25">
      <c r="A18" s="240"/>
      <c r="B18" s="100">
        <v>10</v>
      </c>
      <c r="C18" s="96">
        <v>3</v>
      </c>
      <c r="D18" s="96">
        <v>2</v>
      </c>
      <c r="E18" s="101">
        <v>95</v>
      </c>
      <c r="F18" s="101"/>
      <c r="G18" s="101"/>
      <c r="H18" s="101"/>
      <c r="I18" s="110">
        <f t="shared" si="1"/>
        <v>95</v>
      </c>
      <c r="J18" s="103">
        <f t="shared" si="0"/>
        <v>47500</v>
      </c>
      <c r="K18" s="104">
        <f t="shared" si="3"/>
        <v>4.6766936096248664</v>
      </c>
      <c r="L18" s="234"/>
      <c r="M18" s="236"/>
      <c r="N18" s="238"/>
    </row>
    <row r="19" spans="1:14" x14ac:dyDescent="0.25">
      <c r="A19" s="240" t="s">
        <v>68</v>
      </c>
      <c r="B19" s="105">
        <v>11</v>
      </c>
      <c r="C19" s="106">
        <v>3</v>
      </c>
      <c r="D19" s="106">
        <v>2</v>
      </c>
      <c r="E19" s="106">
        <v>62</v>
      </c>
      <c r="F19" s="106"/>
      <c r="G19" s="106"/>
      <c r="H19" s="106"/>
      <c r="I19" s="107">
        <f t="shared" si="1"/>
        <v>62</v>
      </c>
      <c r="J19" s="108">
        <f t="shared" si="0"/>
        <v>31000</v>
      </c>
      <c r="K19" s="109">
        <f t="shared" si="3"/>
        <v>4.4913616938342731</v>
      </c>
      <c r="L19" s="241">
        <f>IF(I19&gt;29, AVERAGE(K19:K20),"")</f>
        <v>4.5973265359764675</v>
      </c>
      <c r="M19" s="242">
        <f>IF(I19&gt;29,(K19-L19)^2,"")</f>
        <v>1.1228547770220173E-2</v>
      </c>
      <c r="N19" s="237">
        <f>IF(I19&gt;29,COUNT(K19:K20)-1,"")</f>
        <v>1</v>
      </c>
    </row>
    <row r="20" spans="1:14" x14ac:dyDescent="0.25">
      <c r="A20" s="240"/>
      <c r="B20" s="100">
        <v>12</v>
      </c>
      <c r="C20" s="101">
        <v>3</v>
      </c>
      <c r="D20" s="101">
        <v>2</v>
      </c>
      <c r="E20" s="101">
        <v>101</v>
      </c>
      <c r="F20" s="101"/>
      <c r="G20" s="101"/>
      <c r="H20" s="101"/>
      <c r="I20" s="110">
        <f t="shared" si="1"/>
        <v>101</v>
      </c>
      <c r="J20" s="103">
        <f t="shared" si="0"/>
        <v>50500</v>
      </c>
      <c r="K20" s="104">
        <f t="shared" si="3"/>
        <v>4.7032913781186609</v>
      </c>
      <c r="L20" s="234"/>
      <c r="M20" s="236"/>
      <c r="N20" s="238"/>
    </row>
    <row r="21" spans="1:14" x14ac:dyDescent="0.25">
      <c r="A21" s="240" t="s">
        <v>69</v>
      </c>
      <c r="B21" s="95">
        <v>13</v>
      </c>
      <c r="C21" s="106">
        <v>3</v>
      </c>
      <c r="D21" s="106">
        <v>2</v>
      </c>
      <c r="E21" s="106">
        <v>92</v>
      </c>
      <c r="F21" s="106"/>
      <c r="G21" s="106"/>
      <c r="H21" s="106"/>
      <c r="I21" s="107">
        <f t="shared" si="1"/>
        <v>92</v>
      </c>
      <c r="J21" s="108">
        <f t="shared" si="0"/>
        <v>46000</v>
      </c>
      <c r="K21" s="109">
        <f t="shared" si="3"/>
        <v>4.6627578316815743</v>
      </c>
      <c r="L21" s="241">
        <f>IF(I21&gt;29, AVERAGE(K21:K22),"")</f>
        <v>4.7476333721939055</v>
      </c>
      <c r="M21" s="242">
        <f>IF(I21&gt;29,(K21-L21)^2,"")</f>
        <v>7.2038573772603663E-3</v>
      </c>
      <c r="N21" s="237">
        <f>IF(I21&gt;29,COUNT(K21:K22)-1,"")</f>
        <v>1</v>
      </c>
    </row>
    <row r="22" spans="1:14" x14ac:dyDescent="0.25">
      <c r="A22" s="240"/>
      <c r="B22" s="100">
        <v>14</v>
      </c>
      <c r="C22" s="101">
        <v>3</v>
      </c>
      <c r="D22" s="101">
        <v>2</v>
      </c>
      <c r="E22" s="101">
        <v>136</v>
      </c>
      <c r="F22" s="101"/>
      <c r="G22" s="101"/>
      <c r="H22" s="101"/>
      <c r="I22" s="110">
        <f t="shared" si="1"/>
        <v>136</v>
      </c>
      <c r="J22" s="103">
        <f t="shared" si="0"/>
        <v>68000</v>
      </c>
      <c r="K22" s="104">
        <f t="shared" si="3"/>
        <v>4.8325089127062366</v>
      </c>
      <c r="L22" s="234"/>
      <c r="M22" s="236"/>
      <c r="N22" s="238"/>
    </row>
    <row r="23" spans="1:14" x14ac:dyDescent="0.25">
      <c r="A23" s="240" t="s">
        <v>70</v>
      </c>
      <c r="B23" s="105">
        <v>15</v>
      </c>
      <c r="C23" s="106">
        <v>4</v>
      </c>
      <c r="D23" s="106">
        <v>2</v>
      </c>
      <c r="E23" s="106">
        <v>128</v>
      </c>
      <c r="F23" s="106">
        <v>5</v>
      </c>
      <c r="G23" s="106">
        <v>2</v>
      </c>
      <c r="H23" s="106">
        <v>22</v>
      </c>
      <c r="I23" s="107">
        <f t="shared" si="1"/>
        <v>150</v>
      </c>
      <c r="J23" s="108">
        <f t="shared" si="0"/>
        <v>681818.18181818177</v>
      </c>
      <c r="K23" s="109">
        <f t="shared" si="3"/>
        <v>5.8336685782334747</v>
      </c>
      <c r="L23" s="241">
        <f>IF(I23&gt;29, AVERAGE(K23:K24),"")</f>
        <v>5.8780318602104025</v>
      </c>
      <c r="M23" s="242">
        <f>IF(I23&gt;29,(K23-L23)^2,"")</f>
        <v>1.9681007877644014E-3</v>
      </c>
      <c r="N23" s="237">
        <f>IF(I23&gt;29,COUNT(K23:K24)-1,"")</f>
        <v>1</v>
      </c>
    </row>
    <row r="24" spans="1:14" x14ac:dyDescent="0.25">
      <c r="A24" s="240"/>
      <c r="B24" s="100">
        <v>16</v>
      </c>
      <c r="C24" s="101">
        <v>4</v>
      </c>
      <c r="D24" s="101">
        <v>2</v>
      </c>
      <c r="E24" s="101">
        <v>152</v>
      </c>
      <c r="F24" s="101">
        <v>5</v>
      </c>
      <c r="G24" s="101">
        <v>2</v>
      </c>
      <c r="H24" s="101">
        <v>32</v>
      </c>
      <c r="I24" s="110">
        <f t="shared" si="1"/>
        <v>184</v>
      </c>
      <c r="J24" s="103">
        <f t="shared" si="0"/>
        <v>836363.63636363624</v>
      </c>
      <c r="K24" s="104">
        <f t="shared" si="3"/>
        <v>5.9223951421873302</v>
      </c>
      <c r="L24" s="234"/>
      <c r="M24" s="236"/>
      <c r="N24" s="238"/>
    </row>
    <row r="25" spans="1:14" x14ac:dyDescent="0.25">
      <c r="A25" s="240" t="s">
        <v>71</v>
      </c>
      <c r="B25" s="95">
        <v>17</v>
      </c>
      <c r="C25" s="106">
        <v>4</v>
      </c>
      <c r="D25" s="106">
        <v>2</v>
      </c>
      <c r="E25" s="106">
        <v>46</v>
      </c>
      <c r="F25" s="106"/>
      <c r="G25" s="106"/>
      <c r="H25" s="106"/>
      <c r="I25" s="107">
        <f t="shared" si="1"/>
        <v>46</v>
      </c>
      <c r="J25" s="108">
        <f t="shared" si="0"/>
        <v>230000</v>
      </c>
      <c r="K25" s="109">
        <f t="shared" si="3"/>
        <v>5.3617278360175931</v>
      </c>
      <c r="L25" s="241">
        <f>IF(I25&gt;29, AVERAGE(K25:K26),"")</f>
        <v>5.3085001705604498</v>
      </c>
      <c r="M25" s="242">
        <f>IF(I25&gt;29,(K25-L25)^2,"")</f>
        <v>2.8331843700175664E-3</v>
      </c>
      <c r="N25" s="237">
        <f>IF(I25&gt;29,COUNT(K25:K26)-1,"")</f>
        <v>1</v>
      </c>
    </row>
    <row r="26" spans="1:14" x14ac:dyDescent="0.25">
      <c r="A26" s="240"/>
      <c r="B26" s="100">
        <v>18</v>
      </c>
      <c r="C26" s="101">
        <v>4</v>
      </c>
      <c r="D26" s="101">
        <v>2</v>
      </c>
      <c r="E26" s="101">
        <v>36</v>
      </c>
      <c r="F26" s="101"/>
      <c r="G26" s="101"/>
      <c r="H26" s="101"/>
      <c r="I26" s="110">
        <f t="shared" si="1"/>
        <v>36</v>
      </c>
      <c r="J26" s="103">
        <f t="shared" si="0"/>
        <v>180000</v>
      </c>
      <c r="K26" s="104">
        <f t="shared" si="3"/>
        <v>5.2552725051033065</v>
      </c>
      <c r="L26" s="234"/>
      <c r="M26" s="236"/>
      <c r="N26" s="238"/>
    </row>
    <row r="27" spans="1:14" x14ac:dyDescent="0.25">
      <c r="A27" s="239" t="s">
        <v>72</v>
      </c>
      <c r="B27" s="105">
        <v>19</v>
      </c>
      <c r="C27" s="96">
        <v>3</v>
      </c>
      <c r="D27" s="96">
        <v>2</v>
      </c>
      <c r="E27" s="96">
        <v>54</v>
      </c>
      <c r="F27" s="96"/>
      <c r="G27" s="96"/>
      <c r="H27" s="96"/>
      <c r="I27" s="97">
        <f t="shared" si="1"/>
        <v>54</v>
      </c>
      <c r="J27" s="98">
        <f t="shared" si="0"/>
        <v>27000</v>
      </c>
      <c r="K27" s="99">
        <f t="shared" si="3"/>
        <v>4.4313637641589869</v>
      </c>
      <c r="L27" s="241">
        <f>IF(I27&gt;29, AVERAGE(K27:K28),"")</f>
        <v>4.551730811047352</v>
      </c>
      <c r="M27" s="242">
        <f>IF(I27&gt;29,(K27-L27)^2,"")</f>
        <v>1.4488225976625878E-2</v>
      </c>
      <c r="N27" s="237">
        <f>IF(I27&gt;29,COUNT(K27:K28)-1,"")</f>
        <v>1</v>
      </c>
    </row>
    <row r="28" spans="1:14" ht="13.8" thickBot="1" x14ac:dyDescent="0.3">
      <c r="A28" s="244"/>
      <c r="B28" s="111">
        <v>20</v>
      </c>
      <c r="C28" s="112">
        <v>3</v>
      </c>
      <c r="D28" s="112">
        <v>2</v>
      </c>
      <c r="E28" s="112">
        <v>94</v>
      </c>
      <c r="F28" s="112"/>
      <c r="G28" s="112"/>
      <c r="H28" s="112"/>
      <c r="I28" s="113">
        <f t="shared" si="1"/>
        <v>94</v>
      </c>
      <c r="J28" s="114">
        <f t="shared" si="0"/>
        <v>47000</v>
      </c>
      <c r="K28" s="115">
        <f t="shared" si="3"/>
        <v>4.6720978579357171</v>
      </c>
      <c r="L28" s="245"/>
      <c r="M28" s="246"/>
      <c r="N28" s="238"/>
    </row>
    <row r="29" spans="1:14" ht="13.8" thickBot="1" x14ac:dyDescent="0.3">
      <c r="L29" s="3" t="s">
        <v>106</v>
      </c>
      <c r="M29" s="116">
        <f>SUM(M9:M28)</f>
        <v>5.7022822413518408E-2</v>
      </c>
      <c r="N29" s="117">
        <f>SUM(N9:N28)</f>
        <v>10</v>
      </c>
    </row>
    <row r="30" spans="1:14" ht="13.8" thickBot="1" x14ac:dyDescent="0.3">
      <c r="A30" s="118" t="s">
        <v>95</v>
      </c>
      <c r="I30" s="119"/>
      <c r="J30" s="120"/>
      <c r="K30" s="121"/>
      <c r="L30" s="3" t="s">
        <v>110</v>
      </c>
      <c r="M30" s="122">
        <f>2*M29</f>
        <v>0.11404564482703682</v>
      </c>
    </row>
    <row r="31" spans="1:14" ht="13.8" thickBot="1" x14ac:dyDescent="0.3">
      <c r="A31" s="200"/>
      <c r="B31" s="200"/>
      <c r="C31" s="200"/>
      <c r="D31" s="200"/>
      <c r="E31" s="200"/>
      <c r="F31" s="200"/>
      <c r="G31" s="200"/>
      <c r="H31" s="200"/>
      <c r="I31" s="123"/>
      <c r="J31" s="120"/>
      <c r="K31" s="124"/>
    </row>
    <row r="32" spans="1:14" ht="15.6" x14ac:dyDescent="0.35">
      <c r="A32" s="200"/>
      <c r="B32" s="200"/>
      <c r="C32" s="200"/>
      <c r="D32" s="200"/>
      <c r="E32" s="200"/>
      <c r="F32" s="200"/>
      <c r="G32" s="200"/>
      <c r="H32" s="200"/>
      <c r="I32" s="123"/>
      <c r="J32" s="125"/>
      <c r="K32" s="125"/>
      <c r="M32" s="80" t="s">
        <v>107</v>
      </c>
    </row>
    <row r="33" spans="1:13" ht="13.8" thickBot="1" x14ac:dyDescent="0.3">
      <c r="A33" s="200"/>
      <c r="B33" s="200"/>
      <c r="C33" s="200"/>
      <c r="D33" s="200"/>
      <c r="E33" s="200"/>
      <c r="F33" s="200"/>
      <c r="G33" s="200"/>
      <c r="H33" s="200"/>
      <c r="M33" s="126">
        <f>(M30/N29)^0.5</f>
        <v>0.10679215552981258</v>
      </c>
    </row>
    <row r="34" spans="1:13" x14ac:dyDescent="0.25">
      <c r="A34" s="200"/>
      <c r="B34" s="200"/>
      <c r="C34" s="200"/>
      <c r="D34" s="200"/>
      <c r="E34" s="200"/>
      <c r="F34" s="200"/>
      <c r="G34" s="200"/>
      <c r="H34" s="200"/>
      <c r="J34" s="1"/>
      <c r="K34" s="127"/>
    </row>
    <row r="35" spans="1:13" x14ac:dyDescent="0.25">
      <c r="A35" s="200"/>
      <c r="B35" s="200"/>
      <c r="C35" s="200"/>
      <c r="D35" s="200"/>
      <c r="E35" s="200"/>
      <c r="F35" s="200"/>
      <c r="G35" s="200"/>
      <c r="H35" s="200"/>
      <c r="J35" s="119"/>
      <c r="K35" s="128"/>
    </row>
    <row r="36" spans="1:13" x14ac:dyDescent="0.25">
      <c r="A36" s="200"/>
      <c r="B36" s="200"/>
      <c r="C36" s="200"/>
      <c r="D36" s="200"/>
      <c r="E36" s="200"/>
      <c r="F36" s="200"/>
      <c r="G36" s="200"/>
      <c r="H36" s="200"/>
    </row>
    <row r="37" spans="1:13" x14ac:dyDescent="0.25">
      <c r="A37" s="200"/>
      <c r="B37" s="200"/>
      <c r="C37" s="200"/>
      <c r="D37" s="200"/>
      <c r="E37" s="200"/>
      <c r="F37" s="200"/>
      <c r="G37" s="200"/>
      <c r="H37" s="200"/>
    </row>
    <row r="39" spans="1:13" x14ac:dyDescent="0.25">
      <c r="A39" t="s">
        <v>102</v>
      </c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customSheetViews>
    <customSheetView guid="{FE58DACD-0759-49AE-B802-24C56E0F01FD}" scale="70">
      <selection activeCell="B4" sqref="B4:D4"/>
      <pageMargins left="0.7" right="0.7" top="0.78740157499999996" bottom="0.78740157499999996" header="0.3" footer="0.3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pageMargins left="0.7" right="0.7" top="0.78740157499999996" bottom="0.78740157499999996" header="0.3" footer="0.3"/>
  <pageSetup paperSize="9" scale="46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N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3.109375" customWidth="1"/>
    <col min="9" max="9" width="16.88671875" bestFit="1" customWidth="1"/>
    <col min="10" max="10" width="12.109375" customWidth="1"/>
    <col min="12" max="12" width="16.44140625" customWidth="1"/>
    <col min="13" max="13" width="23.5546875" customWidth="1"/>
    <col min="14" max="14" width="22.6640625" customWidth="1"/>
  </cols>
  <sheetData>
    <row r="1" spans="1:14" ht="17.399999999999999" x14ac:dyDescent="0.3">
      <c r="A1" s="39" t="s">
        <v>90</v>
      </c>
    </row>
    <row r="3" spans="1:14" x14ac:dyDescent="0.25">
      <c r="A3" s="1" t="s">
        <v>91</v>
      </c>
      <c r="B3" s="201" t="s">
        <v>280</v>
      </c>
      <c r="C3" s="202"/>
      <c r="D3" s="203"/>
      <c r="F3" s="3" t="s">
        <v>116</v>
      </c>
    </row>
    <row r="4" spans="1:14" x14ac:dyDescent="0.25">
      <c r="A4" s="1" t="s">
        <v>92</v>
      </c>
      <c r="B4" s="201" t="s">
        <v>165</v>
      </c>
      <c r="C4" s="202"/>
      <c r="D4" s="203"/>
      <c r="F4" s="229" t="s">
        <v>163</v>
      </c>
      <c r="G4" s="230"/>
      <c r="H4" s="230"/>
      <c r="I4" s="231"/>
    </row>
    <row r="5" spans="1:14" x14ac:dyDescent="0.25">
      <c r="A5" s="24" t="s">
        <v>94</v>
      </c>
      <c r="B5" s="201" t="s">
        <v>55</v>
      </c>
      <c r="C5" s="202"/>
      <c r="D5" s="203"/>
      <c r="H5" s="24" t="s">
        <v>115</v>
      </c>
      <c r="I5" s="28" t="s">
        <v>117</v>
      </c>
    </row>
    <row r="6" spans="1:14" x14ac:dyDescent="0.25">
      <c r="A6" s="24" t="s">
        <v>93</v>
      </c>
      <c r="B6" s="232"/>
      <c r="C6" s="232"/>
      <c r="D6" s="232"/>
    </row>
    <row r="7" spans="1:14" ht="13.8" thickBot="1" x14ac:dyDescent="0.3"/>
    <row r="8" spans="1:14" ht="16.2" thickBot="1" x14ac:dyDescent="0.3">
      <c r="A8" s="91" t="s">
        <v>10</v>
      </c>
      <c r="B8" s="92" t="s">
        <v>4</v>
      </c>
      <c r="C8" s="93" t="s">
        <v>0</v>
      </c>
      <c r="D8" s="94" t="s">
        <v>12</v>
      </c>
      <c r="E8" s="93" t="s">
        <v>8</v>
      </c>
      <c r="F8" s="93" t="s">
        <v>1</v>
      </c>
      <c r="G8" s="94" t="s">
        <v>14</v>
      </c>
      <c r="H8" s="93" t="s">
        <v>9</v>
      </c>
      <c r="I8" s="93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43" t="s">
        <v>56</v>
      </c>
      <c r="B9" s="95">
        <v>1</v>
      </c>
      <c r="C9" s="96">
        <v>3</v>
      </c>
      <c r="D9" s="96">
        <v>2</v>
      </c>
      <c r="E9" s="96">
        <v>39</v>
      </c>
      <c r="F9" s="96">
        <v>4</v>
      </c>
      <c r="G9" s="96">
        <v>2</v>
      </c>
      <c r="H9" s="96">
        <v>5</v>
      </c>
      <c r="I9" s="97">
        <f>H9+E9</f>
        <v>44</v>
      </c>
      <c r="J9" s="98">
        <f t="shared" ref="J9:J28" si="0">IF(I9&gt;29,I9/(D9+0.1*G9)*10^(C9),"")</f>
        <v>20000</v>
      </c>
      <c r="K9" s="99">
        <f>IF(I9&gt;29,LOG10(J9),"")</f>
        <v>4.3010299956639813</v>
      </c>
      <c r="L9" s="233">
        <f>IF(I9&gt;29, AVERAGE(K9:K10),"")</f>
        <v>4.4139195172863754</v>
      </c>
      <c r="M9" s="235">
        <f>IF(I9&gt;29,(K9-L9)^2,"")</f>
        <v>1.2744044092133004E-2</v>
      </c>
      <c r="N9" s="237">
        <f>IF(I9&gt;29,COUNT(K9:K10)-1,"")</f>
        <v>1</v>
      </c>
    </row>
    <row r="10" spans="1:14" x14ac:dyDescent="0.25">
      <c r="A10" s="240"/>
      <c r="B10" s="100">
        <v>2</v>
      </c>
      <c r="C10" s="101">
        <v>3</v>
      </c>
      <c r="D10" s="101">
        <v>2</v>
      </c>
      <c r="E10" s="101">
        <v>62</v>
      </c>
      <c r="F10" s="101">
        <v>4</v>
      </c>
      <c r="G10" s="101">
        <v>2</v>
      </c>
      <c r="H10" s="101">
        <v>12</v>
      </c>
      <c r="I10" s="102">
        <f t="shared" ref="I10:I28" si="1">H10+E10</f>
        <v>74</v>
      </c>
      <c r="J10" s="103">
        <f>IF(I10&gt;29,I10/(D10+0.1*G10)*10^(C10),"")</f>
        <v>33636.363636363632</v>
      </c>
      <c r="K10" s="104">
        <f>IF(I10&gt;29,LOG10(J10),"")</f>
        <v>4.5268090389087696</v>
      </c>
      <c r="L10" s="234"/>
      <c r="M10" s="236"/>
      <c r="N10" s="238"/>
    </row>
    <row r="11" spans="1:14" x14ac:dyDescent="0.25">
      <c r="A11" s="239" t="s">
        <v>57</v>
      </c>
      <c r="B11" s="105">
        <v>3</v>
      </c>
      <c r="C11" s="106">
        <v>3</v>
      </c>
      <c r="D11" s="106">
        <v>2</v>
      </c>
      <c r="E11" s="106">
        <v>294</v>
      </c>
      <c r="F11" s="106">
        <v>4</v>
      </c>
      <c r="G11" s="106">
        <v>2</v>
      </c>
      <c r="H11" s="106">
        <v>26</v>
      </c>
      <c r="I11" s="107">
        <f t="shared" si="1"/>
        <v>320</v>
      </c>
      <c r="J11" s="108">
        <f t="shared" si="0"/>
        <v>145454.54545454544</v>
      </c>
      <c r="K11" s="109">
        <f t="shared" ref="K11:K28" si="2">IF(I11&gt;29,LOG10(J11),"")</f>
        <v>5.1627272974976997</v>
      </c>
      <c r="L11" s="241">
        <f>IF(I11&gt;29, AVERAGE(K11:K12),"")</f>
        <v>5.0617503370479913</v>
      </c>
      <c r="M11" s="242">
        <f>IF(I11&gt;29,(K11-L11)^2,"")</f>
        <v>1.0196346541661972E-2</v>
      </c>
      <c r="N11" s="237">
        <f>IF(I11&gt;29,COUNT(K11:K12)-1,"")</f>
        <v>1</v>
      </c>
    </row>
    <row r="12" spans="1:14" x14ac:dyDescent="0.25">
      <c r="A12" s="240"/>
      <c r="B12" s="100">
        <v>4</v>
      </c>
      <c r="C12" s="96">
        <v>3</v>
      </c>
      <c r="D12" s="96">
        <v>2</v>
      </c>
      <c r="E12" s="96">
        <v>182</v>
      </c>
      <c r="F12" s="96">
        <v>4</v>
      </c>
      <c r="G12" s="96">
        <v>2</v>
      </c>
      <c r="H12" s="96">
        <v>19</v>
      </c>
      <c r="I12" s="110">
        <f t="shared" si="1"/>
        <v>201</v>
      </c>
      <c r="J12" s="103">
        <f t="shared" si="0"/>
        <v>91363.636363636353</v>
      </c>
      <c r="K12" s="104">
        <f t="shared" si="2"/>
        <v>4.9607733765982829</v>
      </c>
      <c r="L12" s="234"/>
      <c r="M12" s="236"/>
      <c r="N12" s="238"/>
    </row>
    <row r="13" spans="1:14" x14ac:dyDescent="0.25">
      <c r="A13" s="240" t="s">
        <v>58</v>
      </c>
      <c r="B13" s="105">
        <v>5</v>
      </c>
      <c r="C13" s="106">
        <v>4</v>
      </c>
      <c r="D13" s="106">
        <v>2</v>
      </c>
      <c r="E13" s="106">
        <v>120</v>
      </c>
      <c r="F13" s="106"/>
      <c r="G13" s="106"/>
      <c r="H13" s="106"/>
      <c r="I13" s="107">
        <f t="shared" si="1"/>
        <v>120</v>
      </c>
      <c r="J13" s="108">
        <f t="shared" si="0"/>
        <v>600000</v>
      </c>
      <c r="K13" s="109">
        <f t="shared" si="2"/>
        <v>5.7781512503836439</v>
      </c>
      <c r="L13" s="241">
        <f>IF(I13&gt;29, AVERAGE(K13:K14),"")</f>
        <v>5.6672268755754658</v>
      </c>
      <c r="M13" s="242">
        <f>IF(I13&gt;29,(K13-L13)^2,"")</f>
        <v>1.2304216926585169E-2</v>
      </c>
      <c r="N13" s="237">
        <f>IF(I13&gt;29,COUNT(K13:K14)-1,"")</f>
        <v>1</v>
      </c>
    </row>
    <row r="14" spans="1:14" x14ac:dyDescent="0.25">
      <c r="A14" s="240"/>
      <c r="B14" s="100">
        <v>6</v>
      </c>
      <c r="C14" s="101">
        <v>4</v>
      </c>
      <c r="D14" s="101">
        <v>2</v>
      </c>
      <c r="E14" s="101">
        <v>72</v>
      </c>
      <c r="F14" s="101"/>
      <c r="G14" s="101"/>
      <c r="H14" s="101"/>
      <c r="I14" s="110">
        <f t="shared" si="1"/>
        <v>72</v>
      </c>
      <c r="J14" s="103">
        <f t="shared" si="0"/>
        <v>360000</v>
      </c>
      <c r="K14" s="104">
        <f t="shared" si="2"/>
        <v>5.5563025007672868</v>
      </c>
      <c r="L14" s="234"/>
      <c r="M14" s="236"/>
      <c r="N14" s="238"/>
    </row>
    <row r="15" spans="1:14" x14ac:dyDescent="0.25">
      <c r="A15" s="240" t="s">
        <v>59</v>
      </c>
      <c r="B15" s="105">
        <v>7</v>
      </c>
      <c r="C15" s="106">
        <v>4</v>
      </c>
      <c r="D15" s="106">
        <v>2</v>
      </c>
      <c r="E15" s="106">
        <v>73</v>
      </c>
      <c r="F15" s="106">
        <v>5</v>
      </c>
      <c r="G15" s="106">
        <v>2</v>
      </c>
      <c r="H15" s="106">
        <v>9</v>
      </c>
      <c r="I15" s="107">
        <f t="shared" si="1"/>
        <v>82</v>
      </c>
      <c r="J15" s="108">
        <f t="shared" si="0"/>
        <v>372727.27272727265</v>
      </c>
      <c r="K15" s="109">
        <f t="shared" si="2"/>
        <v>5.5713911715615101</v>
      </c>
      <c r="L15" s="241">
        <f>IF(I15&gt;29, AVERAGE(K15:K16),"")</f>
        <v>5.5209409236910796</v>
      </c>
      <c r="M15" s="242">
        <f>IF(I15&gt;29,(K15-L15)^2,"")</f>
        <v>2.5452275101878782E-3</v>
      </c>
      <c r="N15" s="237">
        <f>IF(I15&gt;29,COUNT(K15:K16)-1,"")</f>
        <v>1</v>
      </c>
    </row>
    <row r="16" spans="1:14" x14ac:dyDescent="0.25">
      <c r="A16" s="240"/>
      <c r="B16" s="100">
        <v>8</v>
      </c>
      <c r="C16" s="101">
        <v>4</v>
      </c>
      <c r="D16" s="101">
        <v>2</v>
      </c>
      <c r="E16" s="101">
        <v>59</v>
      </c>
      <c r="F16" s="101">
        <v>5</v>
      </c>
      <c r="G16" s="101">
        <v>2</v>
      </c>
      <c r="H16" s="101">
        <v>6</v>
      </c>
      <c r="I16" s="110">
        <f t="shared" si="1"/>
        <v>65</v>
      </c>
      <c r="J16" s="103">
        <f t="shared" si="0"/>
        <v>295454.54545454541</v>
      </c>
      <c r="K16" s="104">
        <f t="shared" si="2"/>
        <v>5.4704906758206491</v>
      </c>
      <c r="L16" s="234"/>
      <c r="M16" s="236"/>
      <c r="N16" s="238"/>
    </row>
    <row r="17" spans="1:14" x14ac:dyDescent="0.25">
      <c r="A17" s="240" t="s">
        <v>60</v>
      </c>
      <c r="B17" s="105">
        <v>9</v>
      </c>
      <c r="C17" s="106">
        <v>5</v>
      </c>
      <c r="D17" s="106">
        <v>2</v>
      </c>
      <c r="E17" s="106">
        <v>127</v>
      </c>
      <c r="F17" s="106"/>
      <c r="G17" s="106"/>
      <c r="H17" s="106"/>
      <c r="I17" s="107">
        <f t="shared" si="1"/>
        <v>127</v>
      </c>
      <c r="J17" s="108">
        <f t="shared" si="0"/>
        <v>6350000</v>
      </c>
      <c r="K17" s="109">
        <f t="shared" si="2"/>
        <v>6.802773725291976</v>
      </c>
      <c r="L17" s="241">
        <f>IF(I17&gt;29, AVERAGE(K17:K18),"")</f>
        <v>6.8360027225114761</v>
      </c>
      <c r="M17" s="242">
        <f>IF(I17&gt;29,(K17-L17)^2,"")</f>
        <v>1.1041662562135469E-3</v>
      </c>
      <c r="N17" s="237">
        <f>IF(I17&gt;29,COUNT(K17:K18)-1,"")</f>
        <v>1</v>
      </c>
    </row>
    <row r="18" spans="1:14" x14ac:dyDescent="0.25">
      <c r="A18" s="240"/>
      <c r="B18" s="100">
        <v>10</v>
      </c>
      <c r="C18" s="101">
        <v>5</v>
      </c>
      <c r="D18" s="101">
        <v>2</v>
      </c>
      <c r="E18" s="101">
        <v>148</v>
      </c>
      <c r="F18" s="101"/>
      <c r="G18" s="101"/>
      <c r="H18" s="101"/>
      <c r="I18" s="110">
        <f t="shared" si="1"/>
        <v>148</v>
      </c>
      <c r="J18" s="103">
        <f t="shared" si="0"/>
        <v>7400000</v>
      </c>
      <c r="K18" s="104">
        <f t="shared" si="2"/>
        <v>6.8692317197309762</v>
      </c>
      <c r="L18" s="234"/>
      <c r="M18" s="236"/>
      <c r="N18" s="238"/>
    </row>
    <row r="19" spans="1:14" x14ac:dyDescent="0.25">
      <c r="A19" s="240" t="s">
        <v>61</v>
      </c>
      <c r="B19" s="105">
        <v>11</v>
      </c>
      <c r="C19" s="106">
        <v>4</v>
      </c>
      <c r="D19" s="106">
        <v>2</v>
      </c>
      <c r="E19" s="106">
        <v>117</v>
      </c>
      <c r="F19" s="106">
        <v>5</v>
      </c>
      <c r="G19" s="106">
        <v>2</v>
      </c>
      <c r="H19" s="106">
        <v>13</v>
      </c>
      <c r="I19" s="107">
        <f>H19+E19</f>
        <v>130</v>
      </c>
      <c r="J19" s="108">
        <f t="shared" si="0"/>
        <v>590909.09090909082</v>
      </c>
      <c r="K19" s="109">
        <f t="shared" si="2"/>
        <v>5.7715206714846303</v>
      </c>
      <c r="L19" s="241">
        <f>IF(I19&gt;29, AVERAGE(K19:K20),"")</f>
        <v>5.8097148444163578</v>
      </c>
      <c r="M19" s="242">
        <f>IF(I19&gt;29,(K19-L19)^2,"")</f>
        <v>1.4587948459387013E-3</v>
      </c>
      <c r="N19" s="237">
        <f>IF(I19&gt;29,COUNT(K19:K20)-1,"")</f>
        <v>1</v>
      </c>
    </row>
    <row r="20" spans="1:14" x14ac:dyDescent="0.25">
      <c r="A20" s="240"/>
      <c r="B20" s="100">
        <v>12</v>
      </c>
      <c r="C20" s="101">
        <v>4</v>
      </c>
      <c r="D20" s="101">
        <v>2</v>
      </c>
      <c r="E20" s="101">
        <v>142</v>
      </c>
      <c r="F20" s="101">
        <v>5</v>
      </c>
      <c r="G20" s="101">
        <v>2</v>
      </c>
      <c r="H20" s="101">
        <v>13</v>
      </c>
      <c r="I20" s="110">
        <f t="shared" si="1"/>
        <v>155</v>
      </c>
      <c r="J20" s="103">
        <f t="shared" si="0"/>
        <v>704545.45454545459</v>
      </c>
      <c r="K20" s="104">
        <f t="shared" si="2"/>
        <v>5.8479090173480852</v>
      </c>
      <c r="L20" s="234"/>
      <c r="M20" s="236"/>
      <c r="N20" s="238"/>
    </row>
    <row r="21" spans="1:14" x14ac:dyDescent="0.25">
      <c r="A21" s="240" t="s">
        <v>62</v>
      </c>
      <c r="B21" s="105">
        <v>13</v>
      </c>
      <c r="C21" s="106">
        <v>4</v>
      </c>
      <c r="D21" s="106">
        <v>2</v>
      </c>
      <c r="E21" s="106">
        <v>158</v>
      </c>
      <c r="F21" s="106">
        <v>5</v>
      </c>
      <c r="G21" s="106">
        <v>2</v>
      </c>
      <c r="H21" s="106">
        <v>19</v>
      </c>
      <c r="I21" s="107">
        <f t="shared" si="1"/>
        <v>177</v>
      </c>
      <c r="J21" s="108">
        <f t="shared" si="0"/>
        <v>804545.45454545459</v>
      </c>
      <c r="K21" s="109">
        <f t="shared" si="2"/>
        <v>5.9055505855396007</v>
      </c>
      <c r="L21" s="241">
        <f>IF(I21&gt;29, AVERAGE(K21:K22),"")</f>
        <v>5.8499242359369008</v>
      </c>
      <c r="M21" s="242">
        <f>IF(I21&gt;29,(K21-L21)^2,"")</f>
        <v>3.0942907701217862E-3</v>
      </c>
      <c r="N21" s="237">
        <f>IF(I21&gt;29,COUNT(K21:K22)-1,"")</f>
        <v>1</v>
      </c>
    </row>
    <row r="22" spans="1:14" x14ac:dyDescent="0.25">
      <c r="A22" s="240"/>
      <c r="B22" s="100">
        <v>14</v>
      </c>
      <c r="C22" s="101">
        <v>4</v>
      </c>
      <c r="D22" s="101">
        <v>2</v>
      </c>
      <c r="E22" s="101">
        <v>126</v>
      </c>
      <c r="F22" s="101">
        <v>5</v>
      </c>
      <c r="G22" s="101">
        <v>2</v>
      </c>
      <c r="H22" s="101">
        <v>11</v>
      </c>
      <c r="I22" s="110">
        <f t="shared" si="1"/>
        <v>137</v>
      </c>
      <c r="J22" s="103">
        <f t="shared" si="0"/>
        <v>622727.27272727271</v>
      </c>
      <c r="K22" s="104">
        <f t="shared" si="2"/>
        <v>5.794297886334201</v>
      </c>
      <c r="L22" s="234"/>
      <c r="M22" s="236"/>
      <c r="N22" s="238"/>
    </row>
    <row r="23" spans="1:14" x14ac:dyDescent="0.25">
      <c r="A23" s="240" t="s">
        <v>63</v>
      </c>
      <c r="B23" s="105">
        <v>15</v>
      </c>
      <c r="C23" s="106">
        <v>5</v>
      </c>
      <c r="D23" s="106">
        <v>2</v>
      </c>
      <c r="E23" s="106">
        <v>130</v>
      </c>
      <c r="F23" s="106"/>
      <c r="G23" s="106"/>
      <c r="H23" s="106"/>
      <c r="I23" s="107">
        <f t="shared" si="1"/>
        <v>130</v>
      </c>
      <c r="J23" s="108">
        <f t="shared" si="0"/>
        <v>6500000</v>
      </c>
      <c r="K23" s="109">
        <f t="shared" si="2"/>
        <v>6.8129133566428557</v>
      </c>
      <c r="L23" s="241">
        <f>IF(I23&gt;29, AVERAGE(K23:K24),"")</f>
        <v>6.7881706751028963</v>
      </c>
      <c r="M23" s="242">
        <f>IF(I23&gt;29,(K23-L23)^2,"")</f>
        <v>6.1220028978784761E-4</v>
      </c>
      <c r="N23" s="237">
        <f>IF(I23&gt;29,COUNT(K23:K24)-1,"")</f>
        <v>1</v>
      </c>
    </row>
    <row r="24" spans="1:14" x14ac:dyDescent="0.25">
      <c r="A24" s="240"/>
      <c r="B24" s="100">
        <v>16</v>
      </c>
      <c r="C24" s="101">
        <v>5</v>
      </c>
      <c r="D24" s="101">
        <v>2</v>
      </c>
      <c r="E24" s="101">
        <v>116</v>
      </c>
      <c r="F24" s="101"/>
      <c r="G24" s="101"/>
      <c r="H24" s="101"/>
      <c r="I24" s="110">
        <f t="shared" si="1"/>
        <v>116</v>
      </c>
      <c r="J24" s="103">
        <f t="shared" si="0"/>
        <v>5800000</v>
      </c>
      <c r="K24" s="104">
        <f t="shared" si="2"/>
        <v>6.7634279935629369</v>
      </c>
      <c r="L24" s="234"/>
      <c r="M24" s="236"/>
      <c r="N24" s="238"/>
    </row>
    <row r="25" spans="1:14" x14ac:dyDescent="0.25">
      <c r="A25" s="240" t="s">
        <v>64</v>
      </c>
      <c r="B25" s="105">
        <v>17</v>
      </c>
      <c r="C25" s="106">
        <v>3</v>
      </c>
      <c r="D25" s="106">
        <v>2</v>
      </c>
      <c r="E25" s="106">
        <v>82</v>
      </c>
      <c r="F25" s="106">
        <v>4</v>
      </c>
      <c r="G25" s="106">
        <v>2</v>
      </c>
      <c r="H25" s="106">
        <v>15</v>
      </c>
      <c r="I25" s="107">
        <f t="shared" si="1"/>
        <v>97</v>
      </c>
      <c r="J25" s="108">
        <f t="shared" si="0"/>
        <v>44090.909090909088</v>
      </c>
      <c r="K25" s="109">
        <f t="shared" si="2"/>
        <v>4.6443490534440386</v>
      </c>
      <c r="L25" s="241">
        <f>IF(I25&gt;29, AVERAGE(K25:K26),"")</f>
        <v>4.613102829341857</v>
      </c>
      <c r="M25" s="242">
        <f>IF(I25&gt;29,(K25-L25)^2,"")</f>
        <v>9.7632652064375339E-4</v>
      </c>
      <c r="N25" s="237">
        <f>IF(I25&gt;29,COUNT(K25:K26)-1,"")</f>
        <v>1</v>
      </c>
    </row>
    <row r="26" spans="1:14" x14ac:dyDescent="0.25">
      <c r="A26" s="240"/>
      <c r="B26" s="100">
        <v>18</v>
      </c>
      <c r="C26" s="101">
        <v>3</v>
      </c>
      <c r="D26" s="101">
        <v>2</v>
      </c>
      <c r="E26" s="101">
        <v>76</v>
      </c>
      <c r="F26" s="101">
        <v>4</v>
      </c>
      <c r="G26" s="101">
        <v>2</v>
      </c>
      <c r="H26" s="101">
        <v>8</v>
      </c>
      <c r="I26" s="110">
        <f t="shared" si="1"/>
        <v>84</v>
      </c>
      <c r="J26" s="103">
        <f t="shared" si="0"/>
        <v>38181.818181818177</v>
      </c>
      <c r="K26" s="104">
        <f t="shared" si="2"/>
        <v>4.5818566052396754</v>
      </c>
      <c r="L26" s="234"/>
      <c r="M26" s="236"/>
      <c r="N26" s="238"/>
    </row>
    <row r="27" spans="1:14" x14ac:dyDescent="0.25">
      <c r="A27" s="240" t="s">
        <v>65</v>
      </c>
      <c r="B27" s="95">
        <v>19</v>
      </c>
      <c r="C27" s="96">
        <v>4</v>
      </c>
      <c r="D27" s="96">
        <v>2</v>
      </c>
      <c r="E27" s="96">
        <v>132</v>
      </c>
      <c r="F27" s="96"/>
      <c r="G27" s="96"/>
      <c r="H27" s="96"/>
      <c r="I27" s="97">
        <f t="shared" si="1"/>
        <v>132</v>
      </c>
      <c r="J27" s="98">
        <f t="shared" si="0"/>
        <v>660000</v>
      </c>
      <c r="K27" s="99">
        <f t="shared" si="2"/>
        <v>5.8195439355418683</v>
      </c>
      <c r="L27" s="241">
        <f>IF(I27&gt;29, AVERAGE(K27:K28),"")</f>
        <v>5.7896058901157499</v>
      </c>
      <c r="M27" s="242">
        <f>IF(I27&gt;29,(K27-L27)^2,"")</f>
        <v>8.9628656393633138E-4</v>
      </c>
      <c r="N27" s="237">
        <f>IF(I27&gt;29,COUNT(K27:K28)-1,"")</f>
        <v>1</v>
      </c>
    </row>
    <row r="28" spans="1:14" ht="13.8" thickBot="1" x14ac:dyDescent="0.3">
      <c r="A28" s="244"/>
      <c r="B28" s="111">
        <v>20</v>
      </c>
      <c r="C28" s="112">
        <v>4</v>
      </c>
      <c r="D28" s="112">
        <v>2</v>
      </c>
      <c r="E28" s="112">
        <v>115</v>
      </c>
      <c r="F28" s="112"/>
      <c r="G28" s="112"/>
      <c r="H28" s="112"/>
      <c r="I28" s="113">
        <f t="shared" si="1"/>
        <v>115</v>
      </c>
      <c r="J28" s="114">
        <f t="shared" si="0"/>
        <v>575000</v>
      </c>
      <c r="K28" s="115">
        <f t="shared" si="2"/>
        <v>5.7596678446896306</v>
      </c>
      <c r="L28" s="245"/>
      <c r="M28" s="246"/>
      <c r="N28" s="238"/>
    </row>
    <row r="29" spans="1:14" ht="13.8" thickBot="1" x14ac:dyDescent="0.3">
      <c r="L29" s="3" t="s">
        <v>106</v>
      </c>
      <c r="M29" s="116">
        <f>SUM(M9:M28)</f>
        <v>4.5931900317209985E-2</v>
      </c>
      <c r="N29" s="117">
        <f>SUM(N9:N28)</f>
        <v>10</v>
      </c>
    </row>
    <row r="30" spans="1:14" ht="13.8" thickBot="1" x14ac:dyDescent="0.3">
      <c r="A30" s="118" t="s">
        <v>95</v>
      </c>
      <c r="I30" s="119"/>
      <c r="J30" s="120"/>
      <c r="K30" s="121"/>
      <c r="L30" s="3" t="s">
        <v>110</v>
      </c>
      <c r="M30" s="122">
        <f>2*M29</f>
        <v>9.186380063441997E-2</v>
      </c>
    </row>
    <row r="31" spans="1:14" ht="13.8" thickBot="1" x14ac:dyDescent="0.3">
      <c r="A31" s="200"/>
      <c r="B31" s="200"/>
      <c r="C31" s="200"/>
      <c r="D31" s="200"/>
      <c r="E31" s="200"/>
      <c r="F31" s="200"/>
      <c r="G31" s="200"/>
      <c r="H31" s="200"/>
      <c r="I31" s="123"/>
      <c r="J31" s="120"/>
      <c r="K31" s="124"/>
    </row>
    <row r="32" spans="1:14" ht="15.6" x14ac:dyDescent="0.35">
      <c r="A32" s="200"/>
      <c r="B32" s="200"/>
      <c r="C32" s="200"/>
      <c r="D32" s="200"/>
      <c r="E32" s="200"/>
      <c r="F32" s="200"/>
      <c r="G32" s="200"/>
      <c r="H32" s="200"/>
      <c r="I32" s="123"/>
      <c r="J32" s="125"/>
      <c r="K32" s="125"/>
      <c r="M32" s="80" t="s">
        <v>107</v>
      </c>
    </row>
    <row r="33" spans="1:13" ht="13.8" thickBot="1" x14ac:dyDescent="0.3">
      <c r="A33" s="200"/>
      <c r="B33" s="200"/>
      <c r="C33" s="200"/>
      <c r="D33" s="200"/>
      <c r="E33" s="200"/>
      <c r="F33" s="200"/>
      <c r="G33" s="200"/>
      <c r="H33" s="200"/>
      <c r="M33" s="126">
        <f>(M30/N29)^0.5</f>
        <v>9.5845605342352536E-2</v>
      </c>
    </row>
    <row r="34" spans="1:13" x14ac:dyDescent="0.25">
      <c r="A34" s="200"/>
      <c r="B34" s="200"/>
      <c r="C34" s="200"/>
      <c r="D34" s="200"/>
      <c r="E34" s="200"/>
      <c r="F34" s="200"/>
      <c r="G34" s="200"/>
      <c r="H34" s="200"/>
      <c r="J34" s="1"/>
      <c r="K34" s="127"/>
    </row>
    <row r="35" spans="1:13" x14ac:dyDescent="0.25">
      <c r="A35" s="200"/>
      <c r="B35" s="200"/>
      <c r="C35" s="200"/>
      <c r="D35" s="200"/>
      <c r="E35" s="200"/>
      <c r="F35" s="200"/>
      <c r="G35" s="200"/>
      <c r="H35" s="200"/>
      <c r="J35" s="119"/>
      <c r="K35" s="128"/>
    </row>
    <row r="36" spans="1:13" x14ac:dyDescent="0.25">
      <c r="A36" s="200"/>
      <c r="B36" s="200"/>
      <c r="C36" s="200"/>
      <c r="D36" s="200"/>
      <c r="E36" s="200"/>
      <c r="F36" s="200"/>
      <c r="G36" s="200"/>
      <c r="H36" s="200"/>
    </row>
    <row r="37" spans="1:13" x14ac:dyDescent="0.25">
      <c r="A37" s="200"/>
      <c r="B37" s="200"/>
      <c r="C37" s="200"/>
      <c r="D37" s="200"/>
      <c r="E37" s="200"/>
      <c r="F37" s="200"/>
      <c r="G37" s="200"/>
      <c r="H37" s="200"/>
    </row>
    <row r="39" spans="1:13" x14ac:dyDescent="0.25">
      <c r="A39" t="s">
        <v>102</v>
      </c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customSheetViews>
    <customSheetView guid="{FE58DACD-0759-49AE-B802-24C56E0F01FD}">
      <selection activeCell="F38" sqref="F38"/>
      <pageMargins left="0.7" right="0.7" top="0.78740157499999996" bottom="0.78740157499999996" header="0.3" footer="0.3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pageMargins left="0.7" right="0.7" top="0.78740157499999996" bottom="0.78740157499999996" header="0.3" footer="0.3"/>
  <pageSetup paperSize="9" scale="46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N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6.44140625" style="38" customWidth="1"/>
    <col min="13" max="13" width="23.109375" style="38" customWidth="1"/>
    <col min="14" max="14" width="21.332031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279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166</v>
      </c>
      <c r="C4" s="208"/>
      <c r="D4" s="209"/>
      <c r="F4" s="210" t="s">
        <v>160</v>
      </c>
      <c r="G4" s="211"/>
      <c r="H4" s="211"/>
      <c r="I4" s="212"/>
    </row>
    <row r="5" spans="1:14" x14ac:dyDescent="0.25">
      <c r="A5" s="24" t="s">
        <v>94</v>
      </c>
      <c r="B5" s="207" t="s">
        <v>73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74</v>
      </c>
      <c r="B9" s="49">
        <v>1</v>
      </c>
      <c r="C9" s="50">
        <v>6</v>
      </c>
      <c r="D9" s="50">
        <v>3</v>
      </c>
      <c r="E9" s="50">
        <f>93+120+82+3</f>
        <v>298</v>
      </c>
      <c r="F9" s="50"/>
      <c r="G9" s="50"/>
      <c r="H9" s="50"/>
      <c r="I9" s="51">
        <f>H9+E9</f>
        <v>298</v>
      </c>
      <c r="J9" s="52">
        <f t="shared" ref="J9:J28" si="0">IF(I9&gt;29,I9/(D9+0.1*G9)*10^(C9),"")</f>
        <v>99333333.333333328</v>
      </c>
      <c r="K9" s="53">
        <f>IF(I9&gt;29,LOG10(J9),"")</f>
        <v>7.9970950093565927</v>
      </c>
      <c r="L9" s="214">
        <f>IF(AND(I9&gt;29,I10&gt;29), AVERAGE(K9:K10),"")</f>
        <v>7.971609814286869</v>
      </c>
      <c r="M9" s="216">
        <f>IF(AND(I9&gt;29,I10&gt;29),(K9-L9)^2,"")</f>
        <v>6.4949516774186851E-4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6</v>
      </c>
      <c r="D10" s="55">
        <v>3</v>
      </c>
      <c r="E10" s="55">
        <v>265</v>
      </c>
      <c r="F10" s="55"/>
      <c r="G10" s="55"/>
      <c r="H10" s="55"/>
      <c r="I10" s="56">
        <f t="shared" ref="I10:I28" si="1">H10+E10</f>
        <v>265</v>
      </c>
      <c r="J10" s="57">
        <f>IF(I10&gt;29,I10/(D10+0.1*G10)*10^(C10),"")</f>
        <v>88333333.333333328</v>
      </c>
      <c r="K10" s="58">
        <f>IF(I10&gt;29,LOG10(J10),"")</f>
        <v>7.9461246192171453</v>
      </c>
      <c r="L10" s="215"/>
      <c r="M10" s="217"/>
      <c r="N10" s="219"/>
    </row>
    <row r="11" spans="1:14" x14ac:dyDescent="0.25">
      <c r="A11" s="220" t="s">
        <v>75</v>
      </c>
      <c r="B11" s="59">
        <v>3</v>
      </c>
      <c r="C11" s="60">
        <v>5</v>
      </c>
      <c r="D11" s="60">
        <v>3</v>
      </c>
      <c r="E11" s="60">
        <f>92+80+79</f>
        <v>251</v>
      </c>
      <c r="F11" s="60">
        <v>6</v>
      </c>
      <c r="G11" s="60">
        <v>3</v>
      </c>
      <c r="H11" s="60">
        <f>15+9+15+3</f>
        <v>42</v>
      </c>
      <c r="I11" s="61">
        <f t="shared" si="1"/>
        <v>293</v>
      </c>
      <c r="J11" s="62">
        <f t="shared" si="0"/>
        <v>8878787.8787878789</v>
      </c>
      <c r="K11" s="63">
        <f t="shared" ref="K11:K28" si="2">IF(I11&gt;29,LOG10(J11),"")</f>
        <v>6.948353680476222</v>
      </c>
      <c r="L11" s="214">
        <f>IF(AND(I11&gt;29,I12&gt;29), AVERAGE(K11:K12),"")</f>
        <v>6.9392730302517069</v>
      </c>
      <c r="M11" s="216">
        <f>IF(AND(I11&gt;29,I12&gt;29),(K11-L11)^2,"")</f>
        <v>8.2458208499986077E-5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5</v>
      </c>
      <c r="D12" s="50">
        <v>3</v>
      </c>
      <c r="E12" s="50">
        <f>78+77+91</f>
        <v>246</v>
      </c>
      <c r="F12" s="50">
        <v>6</v>
      </c>
      <c r="G12" s="50">
        <v>3</v>
      </c>
      <c r="H12" s="50">
        <f>7+5+19+4</f>
        <v>35</v>
      </c>
      <c r="I12" s="64">
        <f t="shared" si="1"/>
        <v>281</v>
      </c>
      <c r="J12" s="57">
        <f t="shared" si="0"/>
        <v>8515151.5151515156</v>
      </c>
      <c r="K12" s="58">
        <f t="shared" si="2"/>
        <v>6.9301923800271927</v>
      </c>
      <c r="L12" s="215"/>
      <c r="M12" s="217"/>
      <c r="N12" s="219"/>
    </row>
    <row r="13" spans="1:14" x14ac:dyDescent="0.25">
      <c r="A13" s="220" t="s">
        <v>76</v>
      </c>
      <c r="B13" s="59">
        <v>5</v>
      </c>
      <c r="C13" s="60">
        <v>6</v>
      </c>
      <c r="D13" s="60">
        <v>3</v>
      </c>
      <c r="E13" s="60">
        <f>49+32+37</f>
        <v>118</v>
      </c>
      <c r="F13" s="60"/>
      <c r="G13" s="60"/>
      <c r="H13" s="60"/>
      <c r="I13" s="61">
        <f t="shared" si="1"/>
        <v>118</v>
      </c>
      <c r="J13" s="62">
        <f t="shared" si="0"/>
        <v>39333333.333333336</v>
      </c>
      <c r="K13" s="63">
        <f t="shared" si="2"/>
        <v>7.5947607525864633</v>
      </c>
      <c r="L13" s="214">
        <f>IF(AND(I13&gt;29,I14&gt;29), AVERAGE(K13:K14),"")</f>
        <v>7.6011078879005662</v>
      </c>
      <c r="M13" s="216">
        <f>IF(AND(I13&gt;29,I14&gt;29),(K13-L13)^2,"")</f>
        <v>4.02861266955323E-5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6</v>
      </c>
      <c r="D14" s="55">
        <v>2</v>
      </c>
      <c r="E14" s="55">
        <f>33+48</f>
        <v>81</v>
      </c>
      <c r="F14" s="55"/>
      <c r="G14" s="55"/>
      <c r="H14" s="55"/>
      <c r="I14" s="64">
        <f t="shared" si="1"/>
        <v>81</v>
      </c>
      <c r="J14" s="57">
        <f t="shared" si="0"/>
        <v>40500000</v>
      </c>
      <c r="K14" s="58">
        <f t="shared" si="2"/>
        <v>7.6074550232146683</v>
      </c>
      <c r="L14" s="215"/>
      <c r="M14" s="217"/>
      <c r="N14" s="219"/>
    </row>
    <row r="15" spans="1:14" x14ac:dyDescent="0.25">
      <c r="A15" s="220" t="s">
        <v>77</v>
      </c>
      <c r="B15" s="59">
        <v>7</v>
      </c>
      <c r="C15" s="60">
        <v>6</v>
      </c>
      <c r="D15" s="60">
        <v>2</v>
      </c>
      <c r="E15" s="60">
        <v>161</v>
      </c>
      <c r="F15" s="60"/>
      <c r="G15" s="60"/>
      <c r="H15" s="60"/>
      <c r="I15" s="61">
        <f t="shared" si="1"/>
        <v>161</v>
      </c>
      <c r="J15" s="62">
        <f t="shared" si="0"/>
        <v>80500000</v>
      </c>
      <c r="K15" s="63">
        <f t="shared" si="2"/>
        <v>7.9057958803678687</v>
      </c>
      <c r="L15" s="214">
        <f>IF(AND(I15&gt;29,I16&gt;29), AVERAGE(K15:K16),"")</f>
        <v>7.8691523965370527</v>
      </c>
      <c r="M15" s="216">
        <f>IF(AND(I15&gt;29,I16&gt;29),(K15-L15)^2,"")</f>
        <v>1.342744907259278E-3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6</v>
      </c>
      <c r="D16" s="55">
        <v>3</v>
      </c>
      <c r="E16" s="55">
        <v>204</v>
      </c>
      <c r="F16" s="55"/>
      <c r="G16" s="55"/>
      <c r="H16" s="55"/>
      <c r="I16" s="64">
        <f t="shared" si="1"/>
        <v>204</v>
      </c>
      <c r="J16" s="57">
        <f t="shared" si="0"/>
        <v>68000000</v>
      </c>
      <c r="K16" s="58">
        <f t="shared" si="2"/>
        <v>7.8325089127062366</v>
      </c>
      <c r="L16" s="215"/>
      <c r="M16" s="217"/>
      <c r="N16" s="219"/>
    </row>
    <row r="17" spans="1:14" x14ac:dyDescent="0.25">
      <c r="A17" s="220" t="s">
        <v>78</v>
      </c>
      <c r="B17" s="59">
        <v>9</v>
      </c>
      <c r="C17" s="60">
        <v>6</v>
      </c>
      <c r="D17" s="60">
        <v>3</v>
      </c>
      <c r="E17" s="60">
        <v>118</v>
      </c>
      <c r="F17" s="60"/>
      <c r="G17" s="60"/>
      <c r="H17" s="60"/>
      <c r="I17" s="61">
        <f t="shared" si="1"/>
        <v>118</v>
      </c>
      <c r="J17" s="62">
        <f t="shared" si="0"/>
        <v>39333333.333333336</v>
      </c>
      <c r="K17" s="63">
        <f t="shared" si="2"/>
        <v>7.5947607525864633</v>
      </c>
      <c r="L17" s="214">
        <f>IF(AND(I17&gt;29,I18&gt;29), AVERAGE(K17:K18),"")</f>
        <v>7.5631198348143593</v>
      </c>
      <c r="M17" s="216">
        <f>IF(AND(I17&gt;29,I18&gt;29),(K17-L17)^2,"")</f>
        <v>1.0011476774610456E-3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6</v>
      </c>
      <c r="D18" s="55">
        <v>3</v>
      </c>
      <c r="E18" s="55">
        <v>102</v>
      </c>
      <c r="F18" s="55"/>
      <c r="G18" s="55"/>
      <c r="H18" s="55"/>
      <c r="I18" s="64">
        <f t="shared" si="1"/>
        <v>102</v>
      </c>
      <c r="J18" s="57">
        <f t="shared" si="0"/>
        <v>34000000</v>
      </c>
      <c r="K18" s="58">
        <f t="shared" si="2"/>
        <v>7.5314789170422554</v>
      </c>
      <c r="L18" s="215"/>
      <c r="M18" s="217"/>
      <c r="N18" s="219"/>
    </row>
    <row r="19" spans="1:14" x14ac:dyDescent="0.25">
      <c r="A19" s="220" t="s">
        <v>79</v>
      </c>
      <c r="B19" s="59">
        <v>11</v>
      </c>
      <c r="C19" s="60">
        <v>6</v>
      </c>
      <c r="D19" s="60">
        <v>3</v>
      </c>
      <c r="E19" s="60">
        <v>97</v>
      </c>
      <c r="F19" s="60"/>
      <c r="G19" s="60"/>
      <c r="H19" s="60"/>
      <c r="I19" s="61">
        <f t="shared" si="1"/>
        <v>97</v>
      </c>
      <c r="J19" s="62">
        <f t="shared" si="0"/>
        <v>32333333.333333336</v>
      </c>
      <c r="K19" s="63">
        <f t="shared" si="2"/>
        <v>7.5096504795465826</v>
      </c>
      <c r="L19" s="214">
        <f>IF(AND(I19&gt;29,I20&gt;29), AVERAGE(K19:K20),"")</f>
        <v>7.6289192532763916</v>
      </c>
      <c r="M19" s="216">
        <f>IF(AND(I19&gt;29,I20&gt;29),(K19-L19)^2,"")</f>
        <v>1.4225040387012387E-2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6</v>
      </c>
      <c r="D20" s="55">
        <v>3</v>
      </c>
      <c r="E20" s="55">
        <v>168</v>
      </c>
      <c r="F20" s="55"/>
      <c r="G20" s="55"/>
      <c r="H20" s="55"/>
      <c r="I20" s="64">
        <f t="shared" si="1"/>
        <v>168</v>
      </c>
      <c r="J20" s="57">
        <f t="shared" si="0"/>
        <v>56000000</v>
      </c>
      <c r="K20" s="58">
        <f t="shared" si="2"/>
        <v>7.7481880270062007</v>
      </c>
      <c r="L20" s="215"/>
      <c r="M20" s="217"/>
      <c r="N20" s="219"/>
    </row>
    <row r="21" spans="1:14" x14ac:dyDescent="0.25">
      <c r="A21" s="220" t="s">
        <v>80</v>
      </c>
      <c r="B21" s="59">
        <v>13</v>
      </c>
      <c r="C21" s="60">
        <v>6</v>
      </c>
      <c r="D21" s="60">
        <v>3</v>
      </c>
      <c r="E21" s="60">
        <v>44</v>
      </c>
      <c r="F21" s="60"/>
      <c r="G21" s="60"/>
      <c r="H21" s="60"/>
      <c r="I21" s="61">
        <f t="shared" si="1"/>
        <v>44</v>
      </c>
      <c r="J21" s="62">
        <f t="shared" si="0"/>
        <v>14666666.666666666</v>
      </c>
      <c r="K21" s="63">
        <f t="shared" si="2"/>
        <v>7.1663314217665253</v>
      </c>
      <c r="L21" s="214">
        <f>IF(AND(I21&gt;29,I22&gt;29), AVERAGE(K21:K22),"")</f>
        <v>7.319300086845888</v>
      </c>
      <c r="M21" s="216">
        <f>IF(AND(I21&gt;29,I22&gt;29),(K21-L21)^2,"")</f>
        <v>2.3399412496162234E-2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6</v>
      </c>
      <c r="D22" s="55">
        <v>3</v>
      </c>
      <c r="E22" s="55">
        <v>89</v>
      </c>
      <c r="F22" s="55"/>
      <c r="G22" s="55"/>
      <c r="H22" s="55"/>
      <c r="I22" s="64">
        <f t="shared" si="1"/>
        <v>89</v>
      </c>
      <c r="J22" s="57">
        <f t="shared" si="0"/>
        <v>29666666.666666668</v>
      </c>
      <c r="K22" s="58">
        <f t="shared" si="2"/>
        <v>7.4722687519252506</v>
      </c>
      <c r="L22" s="215"/>
      <c r="M22" s="217"/>
      <c r="N22" s="219"/>
    </row>
    <row r="23" spans="1:14" x14ac:dyDescent="0.25">
      <c r="A23" s="220" t="s">
        <v>81</v>
      </c>
      <c r="B23" s="59">
        <v>15</v>
      </c>
      <c r="C23" s="60">
        <v>6</v>
      </c>
      <c r="D23" s="60">
        <v>3</v>
      </c>
      <c r="E23" s="60">
        <v>45</v>
      </c>
      <c r="F23" s="60"/>
      <c r="G23" s="60"/>
      <c r="H23" s="60"/>
      <c r="I23" s="61">
        <f t="shared" si="1"/>
        <v>45</v>
      </c>
      <c r="J23" s="62">
        <f t="shared" si="0"/>
        <v>15000000</v>
      </c>
      <c r="K23" s="63">
        <f t="shared" si="2"/>
        <v>7.1760912590556813</v>
      </c>
      <c r="L23" s="214">
        <f>IF(AND(I23&gt;29,I24&gt;29), AVERAGE(K23:K24),"")</f>
        <v>7.1832114786129866</v>
      </c>
      <c r="M23" s="216">
        <f>IF(AND(I23&gt;29,I24&gt;29),(K23-L23)^2,"")</f>
        <v>5.0697526544232036E-5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6</v>
      </c>
      <c r="D24" s="55">
        <v>2</v>
      </c>
      <c r="E24" s="55">
        <v>31</v>
      </c>
      <c r="F24" s="55"/>
      <c r="G24" s="55"/>
      <c r="H24" s="55"/>
      <c r="I24" s="64">
        <f t="shared" si="1"/>
        <v>31</v>
      </c>
      <c r="J24" s="57">
        <f t="shared" si="0"/>
        <v>15500000</v>
      </c>
      <c r="K24" s="58">
        <f t="shared" si="2"/>
        <v>7.1903316981702918</v>
      </c>
      <c r="L24" s="215"/>
      <c r="M24" s="217"/>
      <c r="N24" s="219"/>
    </row>
    <row r="25" spans="1:14" x14ac:dyDescent="0.25">
      <c r="A25" s="220" t="s">
        <v>82</v>
      </c>
      <c r="B25" s="59">
        <v>17</v>
      </c>
      <c r="C25" s="60">
        <v>5</v>
      </c>
      <c r="D25" s="60">
        <v>3</v>
      </c>
      <c r="E25" s="60">
        <v>172</v>
      </c>
      <c r="F25" s="60">
        <v>6</v>
      </c>
      <c r="G25" s="60">
        <v>2</v>
      </c>
      <c r="H25" s="60">
        <v>15</v>
      </c>
      <c r="I25" s="61">
        <f t="shared" si="1"/>
        <v>187</v>
      </c>
      <c r="J25" s="62">
        <f t="shared" si="0"/>
        <v>5843750</v>
      </c>
      <c r="K25" s="63">
        <f t="shared" si="2"/>
        <v>6.7666916282165932</v>
      </c>
      <c r="L25" s="214">
        <f>IF(AND(I25&gt;29,I26&gt;29), AVERAGE(K25:K26),"")</f>
        <v>6.6955962442964001</v>
      </c>
      <c r="M25" s="216">
        <f>IF(AND(I25&gt;29,I26&gt;29),(K25-L25)^2,"")</f>
        <v>5.0545536147596519E-3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3</v>
      </c>
      <c r="E26" s="55">
        <v>118</v>
      </c>
      <c r="F26" s="55">
        <v>6</v>
      </c>
      <c r="G26" s="55">
        <v>3</v>
      </c>
      <c r="H26" s="55">
        <v>21</v>
      </c>
      <c r="I26" s="64">
        <f t="shared" si="1"/>
        <v>139</v>
      </c>
      <c r="J26" s="57">
        <f t="shared" si="0"/>
        <v>4212121.2121212129</v>
      </c>
      <c r="K26" s="58">
        <f t="shared" si="2"/>
        <v>6.6245008603762079</v>
      </c>
      <c r="L26" s="215"/>
      <c r="M26" s="217"/>
      <c r="N26" s="219"/>
    </row>
    <row r="27" spans="1:14" x14ac:dyDescent="0.25">
      <c r="A27" s="220" t="s">
        <v>83</v>
      </c>
      <c r="B27" s="49">
        <v>19</v>
      </c>
      <c r="C27" s="50">
        <v>4</v>
      </c>
      <c r="D27" s="50">
        <v>3</v>
      </c>
      <c r="E27" s="50">
        <v>220</v>
      </c>
      <c r="F27" s="50">
        <v>5</v>
      </c>
      <c r="G27" s="50">
        <v>3</v>
      </c>
      <c r="H27" s="50">
        <v>20</v>
      </c>
      <c r="I27" s="51">
        <f t="shared" si="1"/>
        <v>240</v>
      </c>
      <c r="J27" s="52">
        <f t="shared" si="0"/>
        <v>727272.72727272729</v>
      </c>
      <c r="K27" s="53">
        <f t="shared" si="2"/>
        <v>5.8616973018337184</v>
      </c>
      <c r="L27" s="224">
        <f>IF(AND(I27&gt;29,I28&gt;29), AVERAGE(K27:K28),"")</f>
        <v>5.8765582426435632</v>
      </c>
      <c r="M27" s="216">
        <f>IF(AND(I27&gt;29,I28&gt;29),(K27-L27)^2,"")</f>
        <v>2.2084756175371037E-4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3</v>
      </c>
      <c r="E28" s="66">
        <v>234</v>
      </c>
      <c r="F28" s="66">
        <v>5</v>
      </c>
      <c r="G28" s="66">
        <v>3</v>
      </c>
      <c r="H28" s="66">
        <v>23</v>
      </c>
      <c r="I28" s="67">
        <f t="shared" si="1"/>
        <v>257</v>
      </c>
      <c r="J28" s="68">
        <f t="shared" si="0"/>
        <v>778787.8787878789</v>
      </c>
      <c r="K28" s="69">
        <f t="shared" si="2"/>
        <v>5.8914191834534071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4.606668367388992E-2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9.213336734777984E-2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9.5986127824691334E-2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90">
      <selection activeCell="B4" sqref="B4:D4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16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N45"/>
  <sheetViews>
    <sheetView zoomScale="70" zoomScaleNormal="70" workbookViewId="0">
      <selection activeCell="J37" sqref="J37:K3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6.44140625" style="38" customWidth="1"/>
    <col min="13" max="13" width="25.33203125" style="38" customWidth="1"/>
    <col min="14" max="14" width="21.55468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279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167</v>
      </c>
      <c r="C4" s="208"/>
      <c r="D4" s="209"/>
      <c r="F4" s="210" t="s">
        <v>160</v>
      </c>
      <c r="G4" s="211"/>
      <c r="H4" s="211"/>
      <c r="I4" s="212"/>
    </row>
    <row r="5" spans="1:14" x14ac:dyDescent="0.25">
      <c r="A5" s="24" t="s">
        <v>94</v>
      </c>
      <c r="B5" s="207" t="s">
        <v>73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74</v>
      </c>
      <c r="B9" s="49">
        <v>1</v>
      </c>
      <c r="C9" s="50">
        <v>4</v>
      </c>
      <c r="D9" s="50">
        <v>3</v>
      </c>
      <c r="E9" s="50">
        <f>18+28+25+3+15+9+13+5+5+3+10+12+10</f>
        <v>156</v>
      </c>
      <c r="F9" s="50">
        <v>5</v>
      </c>
      <c r="G9" s="50">
        <v>3</v>
      </c>
      <c r="H9" s="50">
        <f>1+5+6+1+5+25+23+21+4+3+1</f>
        <v>95</v>
      </c>
      <c r="I9" s="51">
        <f>H9+E9</f>
        <v>251</v>
      </c>
      <c r="J9" s="52">
        <f t="shared" ref="J9:J28" si="0">IF(I9&gt;29,I9/(D9+0.1*G9)*10^(C9),"")</f>
        <v>760606.06060606067</v>
      </c>
      <c r="K9" s="53">
        <f>IF(I9&gt;29,LOG10(J9),"")</f>
        <v>5.8811597816031504</v>
      </c>
      <c r="L9" s="214">
        <f>IF(AND(I9&gt;29,I10&gt;29), AVERAGE(K9:K10),"")</f>
        <v>5.8455127225820007</v>
      </c>
      <c r="M9" s="216">
        <f>IF(AND(I9&gt;29,I10&gt;29),(K9-L9)^2,"")</f>
        <v>1.2707128168573322E-3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4</v>
      </c>
      <c r="D10" s="55">
        <v>3</v>
      </c>
      <c r="E10" s="55">
        <f>16+25+14+6+10+15+23+5+7+3+15+15+21</f>
        <v>175</v>
      </c>
      <c r="F10" s="55">
        <v>5</v>
      </c>
      <c r="G10" s="55">
        <v>3</v>
      </c>
      <c r="H10" s="55">
        <f>2+1+4+1+2+4+2+4+5+2+3+1+1+3+2+1</f>
        <v>38</v>
      </c>
      <c r="I10" s="56">
        <f t="shared" ref="I10:I28" si="1">H10+E10</f>
        <v>213</v>
      </c>
      <c r="J10" s="57">
        <f>IF(I10&gt;29,I10/(D10+0.1*G10)*10^(C10),"")</f>
        <v>645454.54545454541</v>
      </c>
      <c r="K10" s="58">
        <f>IF(I10&gt;29,LOG10(J10),"")</f>
        <v>5.8098656635608501</v>
      </c>
      <c r="L10" s="215"/>
      <c r="M10" s="217"/>
      <c r="N10" s="219"/>
    </row>
    <row r="11" spans="1:14" x14ac:dyDescent="0.25">
      <c r="A11" s="220" t="s">
        <v>75</v>
      </c>
      <c r="B11" s="59">
        <v>3</v>
      </c>
      <c r="C11" s="60">
        <v>4</v>
      </c>
      <c r="D11" s="60">
        <v>3</v>
      </c>
      <c r="E11" s="60">
        <f>9+16+20+3+2+2+3+5+3+3+2+9+4+10</f>
        <v>91</v>
      </c>
      <c r="F11" s="60">
        <v>5</v>
      </c>
      <c r="G11" s="60">
        <v>3</v>
      </c>
      <c r="H11" s="60">
        <f>3+2+1+1+1+2+2</f>
        <v>12</v>
      </c>
      <c r="I11" s="61">
        <f t="shared" si="1"/>
        <v>103</v>
      </c>
      <c r="J11" s="62">
        <f t="shared" si="0"/>
        <v>312121.21212121216</v>
      </c>
      <c r="K11" s="63">
        <f t="shared" ref="K11:K28" si="2">IF(I11&gt;29,LOG10(J11),"")</f>
        <v>5.4943232848272849</v>
      </c>
      <c r="L11" s="214">
        <f>IF(AND(I11&gt;29,I12&gt;29), AVERAGE(K11:K12),"")</f>
        <v>5.4448115986665577</v>
      </c>
      <c r="M11" s="216">
        <f>IF(AND(I11&gt;29,I12&gt;29),(K11-L11)^2,"")</f>
        <v>2.4514070664783463E-3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4</v>
      </c>
      <c r="D12" s="50">
        <v>3</v>
      </c>
      <c r="E12" s="50">
        <f>9+11+8+3+2+1+2+3+4+11+11+12</f>
        <v>77</v>
      </c>
      <c r="F12" s="50">
        <v>5</v>
      </c>
      <c r="G12" s="50">
        <v>3</v>
      </c>
      <c r="H12" s="50">
        <f>1+2+1+1</f>
        <v>5</v>
      </c>
      <c r="I12" s="64">
        <f t="shared" si="1"/>
        <v>82</v>
      </c>
      <c r="J12" s="57">
        <f t="shared" si="0"/>
        <v>248484.84848484851</v>
      </c>
      <c r="K12" s="58">
        <f t="shared" si="2"/>
        <v>5.3952999125058296</v>
      </c>
      <c r="L12" s="215"/>
      <c r="M12" s="217"/>
      <c r="N12" s="219"/>
    </row>
    <row r="13" spans="1:14" x14ac:dyDescent="0.25">
      <c r="A13" s="220" t="s">
        <v>76</v>
      </c>
      <c r="B13" s="59">
        <v>5</v>
      </c>
      <c r="C13" s="60"/>
      <c r="D13" s="60"/>
      <c r="E13" s="60"/>
      <c r="F13" s="60">
        <v>5</v>
      </c>
      <c r="G13" s="60">
        <v>3</v>
      </c>
      <c r="H13" s="60">
        <f>1+2+4+1+2+3+1+199+221+198+3+1+4+3+4+2</f>
        <v>649</v>
      </c>
      <c r="I13" s="61">
        <f t="shared" si="1"/>
        <v>649</v>
      </c>
      <c r="J13" s="62">
        <f t="shared" si="0"/>
        <v>2163.333333333333</v>
      </c>
      <c r="K13" s="63">
        <f t="shared" si="2"/>
        <v>3.3351234420807065</v>
      </c>
      <c r="L13" s="214">
        <f>IF(AND(I13&gt;29,I14&gt;29), AVERAGE(K13:K14),"")</f>
        <v>3.2745418397420063</v>
      </c>
      <c r="M13" s="216">
        <f>IF(AND(I13&gt;29,I14&gt;29),(K13-L13)^2,"")</f>
        <v>3.6701305419244113E-3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/>
      <c r="D14" s="55"/>
      <c r="E14" s="55"/>
      <c r="F14" s="55">
        <v>5</v>
      </c>
      <c r="G14" s="55">
        <v>3</v>
      </c>
      <c r="H14" s="55">
        <f>2+2+2+159+165+145+2+3+5+6</f>
        <v>491</v>
      </c>
      <c r="I14" s="64">
        <f t="shared" si="1"/>
        <v>491</v>
      </c>
      <c r="J14" s="57">
        <f t="shared" si="0"/>
        <v>1636.6666666666665</v>
      </c>
      <c r="K14" s="58">
        <f t="shared" si="2"/>
        <v>3.2139602374033061</v>
      </c>
      <c r="L14" s="215"/>
      <c r="M14" s="217"/>
      <c r="N14" s="219"/>
    </row>
    <row r="15" spans="1:14" x14ac:dyDescent="0.25">
      <c r="A15" s="220" t="s">
        <v>77</v>
      </c>
      <c r="B15" s="59">
        <v>7</v>
      </c>
      <c r="C15" s="60">
        <v>4</v>
      </c>
      <c r="D15" s="60">
        <v>3</v>
      </c>
      <c r="E15" s="60">
        <f>37+38+45+13+8+12</f>
        <v>153</v>
      </c>
      <c r="F15" s="60">
        <v>5</v>
      </c>
      <c r="G15" s="60">
        <v>3</v>
      </c>
      <c r="H15" s="60">
        <f>1+2+2+1+8</f>
        <v>14</v>
      </c>
      <c r="I15" s="61">
        <f t="shared" si="1"/>
        <v>167</v>
      </c>
      <c r="J15" s="62">
        <f t="shared" si="0"/>
        <v>506060.60606060608</v>
      </c>
      <c r="K15" s="63">
        <f t="shared" si="2"/>
        <v>5.7042025312696962</v>
      </c>
      <c r="L15" s="214">
        <f>IF(AND(I15&gt;29,I16&gt;29), AVERAGE(K15:K16),"")</f>
        <v>5.538891597041145</v>
      </c>
      <c r="M15" s="216">
        <f>IF(AND(I15&gt;29,I16&gt;29),(K15-L15)^2,"")</f>
        <v>2.7327704975516398E-2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4</v>
      </c>
      <c r="D16" s="55">
        <v>3</v>
      </c>
      <c r="E16" s="55">
        <f>5+10+11+13+14+12</f>
        <v>65</v>
      </c>
      <c r="F16" s="55">
        <v>5</v>
      </c>
      <c r="G16" s="55">
        <v>3</v>
      </c>
      <c r="H16" s="55">
        <f>2+1+3+6+1</f>
        <v>13</v>
      </c>
      <c r="I16" s="64">
        <f t="shared" si="1"/>
        <v>78</v>
      </c>
      <c r="J16" s="57">
        <f t="shared" si="0"/>
        <v>236363.63636363635</v>
      </c>
      <c r="K16" s="58">
        <f t="shared" si="2"/>
        <v>5.3735806628125928</v>
      </c>
      <c r="L16" s="215"/>
      <c r="M16" s="217"/>
      <c r="N16" s="219"/>
    </row>
    <row r="17" spans="1:14" x14ac:dyDescent="0.25">
      <c r="A17" s="220" t="s">
        <v>78</v>
      </c>
      <c r="B17" s="59">
        <v>9</v>
      </c>
      <c r="C17" s="60">
        <v>4</v>
      </c>
      <c r="D17" s="60">
        <v>3</v>
      </c>
      <c r="E17" s="60">
        <f>5+8+2+31+22+20</f>
        <v>88</v>
      </c>
      <c r="F17" s="60">
        <v>5</v>
      </c>
      <c r="G17" s="60">
        <v>3</v>
      </c>
      <c r="H17" s="60">
        <f>3+5</f>
        <v>8</v>
      </c>
      <c r="I17" s="61">
        <f t="shared" si="1"/>
        <v>96</v>
      </c>
      <c r="J17" s="62">
        <f t="shared" si="0"/>
        <v>290909.09090909094</v>
      </c>
      <c r="K17" s="63">
        <f t="shared" si="2"/>
        <v>5.4637572931616809</v>
      </c>
      <c r="L17" s="214">
        <f>IF(AND(I17&gt;29,I18&gt;29), AVERAGE(K17:K18),"")</f>
        <v>5.4637572931616809</v>
      </c>
      <c r="M17" s="216">
        <f>IF(AND(I17&gt;29,I18&gt;29),(K17-L17)^2,"")</f>
        <v>0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4</v>
      </c>
      <c r="D18" s="55">
        <v>3</v>
      </c>
      <c r="E18" s="55">
        <f>2+4+3+26+35+17</f>
        <v>87</v>
      </c>
      <c r="F18" s="55">
        <v>5</v>
      </c>
      <c r="G18" s="55">
        <v>3</v>
      </c>
      <c r="H18" s="55">
        <f>3+2+1+3</f>
        <v>9</v>
      </c>
      <c r="I18" s="64">
        <f t="shared" si="1"/>
        <v>96</v>
      </c>
      <c r="J18" s="57">
        <f t="shared" si="0"/>
        <v>290909.09090909094</v>
      </c>
      <c r="K18" s="58">
        <f t="shared" si="2"/>
        <v>5.4637572931616809</v>
      </c>
      <c r="L18" s="215"/>
      <c r="M18" s="217"/>
      <c r="N18" s="219"/>
    </row>
    <row r="19" spans="1:14" x14ac:dyDescent="0.25">
      <c r="A19" s="220" t="s">
        <v>79</v>
      </c>
      <c r="B19" s="59">
        <v>11</v>
      </c>
      <c r="C19" s="60">
        <v>4</v>
      </c>
      <c r="D19" s="60">
        <v>3</v>
      </c>
      <c r="E19" s="60">
        <f>21+16+22+1+1+16+6+14+7+10+9+27+19+13</f>
        <v>182</v>
      </c>
      <c r="F19" s="60">
        <v>5</v>
      </c>
      <c r="G19" s="60">
        <v>3</v>
      </c>
      <c r="H19" s="60">
        <f>6+3+5+3+4+2+1+2+3+3</f>
        <v>32</v>
      </c>
      <c r="I19" s="61">
        <f t="shared" si="1"/>
        <v>214</v>
      </c>
      <c r="J19" s="62">
        <f t="shared" si="0"/>
        <v>648484.84848484863</v>
      </c>
      <c r="K19" s="63">
        <f t="shared" si="2"/>
        <v>5.811899833471303</v>
      </c>
      <c r="L19" s="214">
        <f>IF(AND(I19&gt;29,I20&gt;29), AVERAGE(K19:K20),"")</f>
        <v>5.8944651155699326</v>
      </c>
      <c r="M19" s="216">
        <f>IF(AND(I19&gt;29,I20&gt;29),(K19-L19)^2,"")</f>
        <v>6.8170258080262796E-3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4</v>
      </c>
      <c r="D20" s="55">
        <v>3</v>
      </c>
      <c r="E20" s="55">
        <f>28+32+30+14+15+27+15+16+12+40+26+30</f>
        <v>285</v>
      </c>
      <c r="F20" s="55">
        <v>5</v>
      </c>
      <c r="G20" s="55">
        <v>3</v>
      </c>
      <c r="H20" s="55">
        <f>2+8+1+4+8+5</f>
        <v>28</v>
      </c>
      <c r="I20" s="64">
        <f t="shared" si="1"/>
        <v>313</v>
      </c>
      <c r="J20" s="57">
        <f t="shared" si="0"/>
        <v>948484.84848484863</v>
      </c>
      <c r="K20" s="58">
        <f t="shared" si="2"/>
        <v>5.9770303976685613</v>
      </c>
      <c r="L20" s="215"/>
      <c r="M20" s="217"/>
      <c r="N20" s="219"/>
    </row>
    <row r="21" spans="1:14" x14ac:dyDescent="0.25">
      <c r="A21" s="220" t="s">
        <v>80</v>
      </c>
      <c r="B21" s="59">
        <v>13</v>
      </c>
      <c r="C21" s="60">
        <v>4</v>
      </c>
      <c r="D21" s="60">
        <v>3</v>
      </c>
      <c r="E21" s="60">
        <f>11+11+7+3+5+3+1+18+25+24+13+9+7+6+14+9</f>
        <v>166</v>
      </c>
      <c r="F21" s="60">
        <v>5</v>
      </c>
      <c r="G21" s="60">
        <v>3</v>
      </c>
      <c r="H21" s="60">
        <f>2+1+2+1+3+3+2+3+6+2+5+5+4</f>
        <v>39</v>
      </c>
      <c r="I21" s="61">
        <f t="shared" si="1"/>
        <v>205</v>
      </c>
      <c r="J21" s="62">
        <f t="shared" si="0"/>
        <v>621212.12121212122</v>
      </c>
      <c r="K21" s="63">
        <f t="shared" si="2"/>
        <v>5.7932399211778671</v>
      </c>
      <c r="L21" s="214">
        <f>IF(AND(I21&gt;29,I22&gt;29), AVERAGE(K21:K22),"")</f>
        <v>5.8663039390169862</v>
      </c>
      <c r="M21" s="216">
        <f>IF(AND(I21&gt;29,I22&gt;29),(K21-L21)^2,"")</f>
        <v>5.3383507027951124E-3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4</v>
      </c>
      <c r="D22" s="55">
        <v>3</v>
      </c>
      <c r="E22" s="55">
        <f>13+20+17+2+3+5+16+11+19+12+15+16+28+31+16+16+19</f>
        <v>259</v>
      </c>
      <c r="F22" s="55">
        <v>5</v>
      </c>
      <c r="G22" s="55">
        <v>3</v>
      </c>
      <c r="H22" s="55">
        <f>1+2+2+1+1+3+1+1+4+1+2+2+1+2+2+2</f>
        <v>28</v>
      </c>
      <c r="I22" s="64">
        <f t="shared" si="1"/>
        <v>287</v>
      </c>
      <c r="J22" s="57">
        <f t="shared" si="0"/>
        <v>869696.96969696973</v>
      </c>
      <c r="K22" s="58">
        <f t="shared" si="2"/>
        <v>5.9393679568561053</v>
      </c>
      <c r="L22" s="215"/>
      <c r="M22" s="217"/>
      <c r="N22" s="219"/>
    </row>
    <row r="23" spans="1:14" x14ac:dyDescent="0.25">
      <c r="A23" s="220" t="s">
        <v>81</v>
      </c>
      <c r="B23" s="59">
        <v>15</v>
      </c>
      <c r="C23" s="60">
        <v>5</v>
      </c>
      <c r="D23" s="60">
        <v>3</v>
      </c>
      <c r="E23" s="60">
        <f>1+1+5+1+408+263+371+5+20+8</f>
        <v>1083</v>
      </c>
      <c r="F23" s="60"/>
      <c r="G23" s="60"/>
      <c r="H23" s="60"/>
      <c r="I23" s="61">
        <f t="shared" si="1"/>
        <v>1083</v>
      </c>
      <c r="J23" s="62">
        <f t="shared" si="0"/>
        <v>36100000</v>
      </c>
      <c r="K23" s="63">
        <f t="shared" si="2"/>
        <v>7.5575072019056577</v>
      </c>
      <c r="L23" s="214">
        <f>IF(AND(I23&gt;29,I24&gt;29), AVERAGE(K23:K24),"")</f>
        <v>7.4292685987848195</v>
      </c>
      <c r="M23" s="216">
        <f>IF(AND(I23&gt;29,I24&gt;29),(K23-L23)^2,"")</f>
        <v>1.6445139330383864E-2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5</v>
      </c>
      <c r="D24" s="55">
        <v>3</v>
      </c>
      <c r="E24" s="55">
        <f>2+2+1+1+171+200+211+4+3+5</f>
        <v>600</v>
      </c>
      <c r="F24" s="55"/>
      <c r="G24" s="55"/>
      <c r="H24" s="55"/>
      <c r="I24" s="64">
        <f t="shared" si="1"/>
        <v>600</v>
      </c>
      <c r="J24" s="57">
        <f t="shared" si="0"/>
        <v>20000000</v>
      </c>
      <c r="K24" s="58">
        <f t="shared" si="2"/>
        <v>7.3010299956639813</v>
      </c>
      <c r="L24" s="215"/>
      <c r="M24" s="217"/>
      <c r="N24" s="219"/>
    </row>
    <row r="25" spans="1:14" x14ac:dyDescent="0.25">
      <c r="A25" s="220" t="s">
        <v>84</v>
      </c>
      <c r="B25" s="59">
        <v>17</v>
      </c>
      <c r="C25" s="60">
        <v>5</v>
      </c>
      <c r="D25" s="60">
        <v>3</v>
      </c>
      <c r="E25" s="60">
        <f>145+123+140+25+22+10+46+38+60</f>
        <v>609</v>
      </c>
      <c r="F25" s="60"/>
      <c r="G25" s="60"/>
      <c r="H25" s="60"/>
      <c r="I25" s="61">
        <f t="shared" si="1"/>
        <v>609</v>
      </c>
      <c r="J25" s="62">
        <f t="shared" si="0"/>
        <v>20300000</v>
      </c>
      <c r="K25" s="63">
        <f t="shared" si="2"/>
        <v>7.3074960379132126</v>
      </c>
      <c r="L25" s="214">
        <f>IF(AND(I25&gt;29,I26&gt;29), AVERAGE(K25:K26),"")</f>
        <v>7.2829868414458652</v>
      </c>
      <c r="M25" s="216">
        <f>IF(AND(I25&gt;29,I26&gt;29),(K25-L25)^2,"")</f>
        <v>6.0070071147503396E-4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3</v>
      </c>
      <c r="E26" s="55">
        <f>2+2+3+113+92+109+1+12+22+7+64+49+68</f>
        <v>544</v>
      </c>
      <c r="F26" s="55"/>
      <c r="G26" s="55"/>
      <c r="H26" s="55"/>
      <c r="I26" s="64">
        <f t="shared" si="1"/>
        <v>544</v>
      </c>
      <c r="J26" s="57">
        <f t="shared" si="0"/>
        <v>18133333.333333336</v>
      </c>
      <c r="K26" s="58">
        <f t="shared" si="2"/>
        <v>7.2584776449785178</v>
      </c>
      <c r="L26" s="215"/>
      <c r="M26" s="217"/>
      <c r="N26" s="219"/>
    </row>
    <row r="27" spans="1:14" x14ac:dyDescent="0.25">
      <c r="A27" s="220" t="s">
        <v>83</v>
      </c>
      <c r="B27" s="49">
        <v>19</v>
      </c>
      <c r="C27" s="50">
        <v>3</v>
      </c>
      <c r="D27" s="50">
        <v>3</v>
      </c>
      <c r="E27" s="50">
        <f>3+17+30+28+2+7+9+15+12+21+10</f>
        <v>154</v>
      </c>
      <c r="F27" s="50"/>
      <c r="G27" s="50"/>
      <c r="H27" s="50"/>
      <c r="I27" s="51">
        <f t="shared" si="1"/>
        <v>154</v>
      </c>
      <c r="J27" s="52">
        <f t="shared" si="0"/>
        <v>51333.333333333336</v>
      </c>
      <c r="K27" s="53">
        <f t="shared" si="2"/>
        <v>4.7103994661168009</v>
      </c>
      <c r="L27" s="224">
        <f>IF(AND(I27&gt;29,I28&gt;29), AVERAGE(K27:K28),"")</f>
        <v>4.7344033291523431</v>
      </c>
      <c r="M27" s="216">
        <f>IF(AND(I27&gt;29,I28&gt;29),(K27-L27)^2,"")</f>
        <v>5.7618544062906622E-4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3</v>
      </c>
      <c r="D28" s="66">
        <v>3</v>
      </c>
      <c r="E28" s="66">
        <f>36+36+22+24+13+14+11+12+4</f>
        <v>172</v>
      </c>
      <c r="F28" s="66"/>
      <c r="G28" s="66"/>
      <c r="H28" s="66"/>
      <c r="I28" s="67">
        <f t="shared" si="1"/>
        <v>172</v>
      </c>
      <c r="J28" s="68">
        <f t="shared" si="0"/>
        <v>57333.333333333336</v>
      </c>
      <c r="K28" s="69">
        <f t="shared" si="2"/>
        <v>4.7584071921878861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6.4497357394085839E-2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0.12899471478817168</v>
      </c>
    </row>
    <row r="31" spans="1:14" ht="13.8" thickBot="1" x14ac:dyDescent="0.3">
      <c r="A31" s="222" t="s">
        <v>419</v>
      </c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0.11357584020740136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  <c r="J37" s="154"/>
      <c r="K37" s="154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87" t="s">
        <v>17</v>
      </c>
      <c r="B42" s="146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B4" sqref="B4:D4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15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63" orientation="landscape" r:id="rId2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66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278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168</v>
      </c>
      <c r="C4" s="202"/>
      <c r="D4" s="203"/>
      <c r="F4" s="201" t="s">
        <v>169</v>
      </c>
      <c r="G4" s="202"/>
      <c r="H4" s="202"/>
      <c r="I4" s="203"/>
    </row>
    <row r="5" spans="1:11" x14ac:dyDescent="0.25">
      <c r="A5" s="24" t="s">
        <v>94</v>
      </c>
      <c r="B5" s="201" t="s">
        <v>85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/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2</v>
      </c>
      <c r="D9" s="32">
        <v>162</v>
      </c>
      <c r="E9" s="32">
        <v>5</v>
      </c>
      <c r="F9" s="32">
        <v>1</v>
      </c>
      <c r="G9" s="32">
        <v>27</v>
      </c>
      <c r="H9" s="5">
        <f>G9+D9</f>
        <v>189</v>
      </c>
      <c r="I9" s="33">
        <f t="shared" ref="I9:I19" si="0">IF(H9&gt;29,H9/(C9+0.1*F9)*10^(B9),"")</f>
        <v>900000</v>
      </c>
      <c r="J9" s="7">
        <f>IF(H9&gt;29,LOG10(I9),"")</f>
        <v>5.9542425094393252</v>
      </c>
      <c r="K9" s="34">
        <f t="shared" ref="K9:K19" si="1">IF(H9&gt;29,(J9-$J$21)^2,"")</f>
        <v>1.3502638945806554E-3</v>
      </c>
    </row>
    <row r="10" spans="1:11" x14ac:dyDescent="0.25">
      <c r="A10" s="9">
        <v>2</v>
      </c>
      <c r="B10" s="29">
        <v>4</v>
      </c>
      <c r="C10" s="29">
        <v>2</v>
      </c>
      <c r="D10" s="29">
        <v>170</v>
      </c>
      <c r="E10" s="29">
        <v>5</v>
      </c>
      <c r="F10" s="29">
        <v>2</v>
      </c>
      <c r="G10" s="29">
        <v>19</v>
      </c>
      <c r="H10" s="5">
        <f t="shared" ref="H10:H19" si="2">G10+D10</f>
        <v>189</v>
      </c>
      <c r="I10" s="6">
        <f t="shared" si="0"/>
        <v>859090.90909090906</v>
      </c>
      <c r="J10" s="7">
        <f t="shared" ref="J10:J19" si="3">IF(H10&gt;29,LOG10(I10),"")</f>
        <v>5.9340391233510381</v>
      </c>
      <c r="K10" s="8">
        <f t="shared" si="1"/>
        <v>3.2432254135001683E-3</v>
      </c>
    </row>
    <row r="11" spans="1:11" x14ac:dyDescent="0.25">
      <c r="A11" s="9">
        <v>3</v>
      </c>
      <c r="B11" s="29">
        <v>4</v>
      </c>
      <c r="C11" s="29">
        <v>2</v>
      </c>
      <c r="D11" s="29">
        <v>132</v>
      </c>
      <c r="E11" s="29">
        <v>5</v>
      </c>
      <c r="F11" s="29">
        <v>2</v>
      </c>
      <c r="G11" s="29">
        <v>34</v>
      </c>
      <c r="H11" s="5">
        <f>G11+D11</f>
        <v>166</v>
      </c>
      <c r="I11" s="6">
        <f>IF(H11&gt;29,H11/(C11+0.1*F11)*10^(B11),"")</f>
        <v>754545.45454545459</v>
      </c>
      <c r="J11" s="7">
        <f t="shared" si="3"/>
        <v>5.8776854072178493</v>
      </c>
      <c r="K11" s="8">
        <f>IF(H11&gt;29,(J11-$J$21)^2,"")</f>
        <v>1.283757872325648E-2</v>
      </c>
    </row>
    <row r="12" spans="1:11" x14ac:dyDescent="0.25">
      <c r="A12" s="9">
        <v>4</v>
      </c>
      <c r="B12" s="29">
        <v>4</v>
      </c>
      <c r="C12" s="29">
        <v>2</v>
      </c>
      <c r="D12" s="29">
        <v>128</v>
      </c>
      <c r="E12" s="29">
        <v>5</v>
      </c>
      <c r="F12" s="29">
        <v>2</v>
      </c>
      <c r="G12" s="29">
        <v>36</v>
      </c>
      <c r="H12" s="10">
        <f t="shared" si="2"/>
        <v>164</v>
      </c>
      <c r="I12" s="6">
        <f t="shared" si="0"/>
        <v>745454.5454545453</v>
      </c>
      <c r="J12" s="7">
        <f t="shared" si="3"/>
        <v>5.8724211672254913</v>
      </c>
      <c r="K12" s="8">
        <f t="shared" si="1"/>
        <v>1.4058199727832531E-2</v>
      </c>
    </row>
    <row r="13" spans="1:11" x14ac:dyDescent="0.25">
      <c r="A13" s="9">
        <v>5</v>
      </c>
      <c r="B13" s="29">
        <v>4</v>
      </c>
      <c r="C13" s="29">
        <v>2</v>
      </c>
      <c r="D13" s="29">
        <v>186</v>
      </c>
      <c r="E13" s="29">
        <v>5</v>
      </c>
      <c r="F13" s="29">
        <v>2</v>
      </c>
      <c r="G13" s="29">
        <v>35</v>
      </c>
      <c r="H13" s="10">
        <f t="shared" si="2"/>
        <v>221</v>
      </c>
      <c r="I13" s="6">
        <f t="shared" si="0"/>
        <v>1004545.4545454546</v>
      </c>
      <c r="J13" s="7">
        <f t="shared" si="3"/>
        <v>6.0019695928629044</v>
      </c>
      <c r="K13" s="8">
        <f t="shared" si="1"/>
        <v>1.2058557421422752E-4</v>
      </c>
    </row>
    <row r="14" spans="1:11" x14ac:dyDescent="0.25">
      <c r="A14" s="9">
        <v>6</v>
      </c>
      <c r="B14" s="29">
        <v>4</v>
      </c>
      <c r="C14" s="29">
        <v>2</v>
      </c>
      <c r="D14" s="29">
        <v>170</v>
      </c>
      <c r="E14" s="29">
        <v>5</v>
      </c>
      <c r="F14" s="29">
        <v>2</v>
      </c>
      <c r="G14" s="29">
        <v>13</v>
      </c>
      <c r="H14" s="10">
        <f t="shared" si="2"/>
        <v>183</v>
      </c>
      <c r="I14" s="6">
        <f t="shared" si="0"/>
        <v>831818.18181818177</v>
      </c>
      <c r="J14" s="7">
        <f t="shared" si="3"/>
        <v>5.9200284089082231</v>
      </c>
      <c r="K14" s="8">
        <f t="shared" si="1"/>
        <v>5.0353269429701201E-3</v>
      </c>
    </row>
    <row r="15" spans="1:11" x14ac:dyDescent="0.25">
      <c r="A15" s="9">
        <v>7</v>
      </c>
      <c r="B15" s="29">
        <v>4</v>
      </c>
      <c r="C15" s="29">
        <v>2</v>
      </c>
      <c r="D15" s="29">
        <v>198</v>
      </c>
      <c r="E15" s="29">
        <v>5</v>
      </c>
      <c r="F15" s="29">
        <v>2</v>
      </c>
      <c r="G15" s="29">
        <v>21</v>
      </c>
      <c r="H15" s="10">
        <f t="shared" si="2"/>
        <v>219</v>
      </c>
      <c r="I15" s="6">
        <f t="shared" si="0"/>
        <v>995454.5454545453</v>
      </c>
      <c r="J15" s="7">
        <f t="shared" si="3"/>
        <v>5.9980214340179119</v>
      </c>
      <c r="K15" s="8">
        <f t="shared" si="1"/>
        <v>4.9462912639785395E-5</v>
      </c>
    </row>
    <row r="16" spans="1:11" x14ac:dyDescent="0.25">
      <c r="A16" s="9">
        <v>8</v>
      </c>
      <c r="B16" s="29">
        <v>4</v>
      </c>
      <c r="C16" s="29">
        <v>2</v>
      </c>
      <c r="D16" s="29">
        <v>264</v>
      </c>
      <c r="E16" s="29">
        <v>5</v>
      </c>
      <c r="F16" s="29">
        <v>2</v>
      </c>
      <c r="G16" s="29">
        <v>33</v>
      </c>
      <c r="H16" s="10">
        <f t="shared" si="2"/>
        <v>297</v>
      </c>
      <c r="I16" s="6">
        <f t="shared" si="0"/>
        <v>1350000</v>
      </c>
      <c r="J16" s="7">
        <f t="shared" si="3"/>
        <v>6.1303337684950066</v>
      </c>
      <c r="K16" s="8">
        <f t="shared" si="1"/>
        <v>1.9417118746292823E-2</v>
      </c>
    </row>
    <row r="17" spans="1:11" x14ac:dyDescent="0.25">
      <c r="A17" s="9">
        <v>9</v>
      </c>
      <c r="B17" s="29">
        <v>4</v>
      </c>
      <c r="C17" s="29">
        <v>2</v>
      </c>
      <c r="D17" s="29">
        <v>248</v>
      </c>
      <c r="E17" s="29">
        <v>5</v>
      </c>
      <c r="F17" s="29">
        <v>2</v>
      </c>
      <c r="G17" s="29">
        <v>34</v>
      </c>
      <c r="H17" s="10">
        <f t="shared" si="2"/>
        <v>282</v>
      </c>
      <c r="I17" s="6">
        <f t="shared" si="0"/>
        <v>1281818.1818181816</v>
      </c>
      <c r="J17" s="7">
        <f t="shared" si="3"/>
        <v>6.1078264274971552</v>
      </c>
      <c r="K17" s="8">
        <f t="shared" si="1"/>
        <v>1.3651113790411989E-2</v>
      </c>
    </row>
    <row r="18" spans="1:11" x14ac:dyDescent="0.25">
      <c r="A18" s="9">
        <v>10</v>
      </c>
      <c r="B18" s="29">
        <v>4</v>
      </c>
      <c r="C18" s="29">
        <v>2</v>
      </c>
      <c r="D18" s="29">
        <v>255</v>
      </c>
      <c r="E18" s="29">
        <v>5</v>
      </c>
      <c r="F18" s="29">
        <v>2</v>
      </c>
      <c r="G18" s="29">
        <v>26</v>
      </c>
      <c r="H18" s="10">
        <f t="shared" si="2"/>
        <v>281</v>
      </c>
      <c r="I18" s="6">
        <f t="shared" si="0"/>
        <v>1277272.7272727273</v>
      </c>
      <c r="J18" s="7">
        <f t="shared" si="3"/>
        <v>6.1062836390828741</v>
      </c>
      <c r="K18" s="8">
        <f t="shared" si="1"/>
        <v>1.3292981419815121E-2</v>
      </c>
    </row>
    <row r="19" spans="1:11" ht="13.8" thickBot="1" x14ac:dyDescent="0.3">
      <c r="A19" s="11">
        <v>11</v>
      </c>
      <c r="B19" s="30">
        <v>4</v>
      </c>
      <c r="C19" s="30">
        <v>2</v>
      </c>
      <c r="D19" s="30">
        <v>191</v>
      </c>
      <c r="E19" s="30">
        <v>5</v>
      </c>
      <c r="F19" s="30">
        <v>2</v>
      </c>
      <c r="G19" s="30">
        <v>28</v>
      </c>
      <c r="H19" s="12">
        <f t="shared" si="2"/>
        <v>219</v>
      </c>
      <c r="I19" s="27">
        <f t="shared" si="0"/>
        <v>995454.5454545453</v>
      </c>
      <c r="J19" s="13">
        <f t="shared" si="3"/>
        <v>5.9980214340179119</v>
      </c>
      <c r="K19" s="25">
        <f t="shared" si="1"/>
        <v>4.9462912639785395E-5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999586.77685950394</v>
      </c>
      <c r="J21" s="17">
        <f>AVERAGE(J9:J19)</f>
        <v>5.9909884465559733</v>
      </c>
      <c r="K21" s="18">
        <f>SUM(K9:K19)</f>
        <v>8.3105320058153673E-2</v>
      </c>
    </row>
    <row r="22" spans="1:11" ht="13.8" thickBot="1" x14ac:dyDescent="0.3">
      <c r="A22" s="200" t="s">
        <v>111</v>
      </c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214951.98911814168</v>
      </c>
      <c r="J22" s="31">
        <f>STDEV(J9:J19)</f>
        <v>9.1162119357852622E-2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21.504084897308928</v>
      </c>
      <c r="J23" s="19">
        <f>J22/J21*100</f>
        <v>1.5216540671224095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9.1162119357852622E-2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3" sqref="B3:D3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4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{F711CD04-E9CF-40F1-B57D-54A551BF3AD8}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11CD04-E9CF-40F1-B57D-54A551BF3AD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1.441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278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170</v>
      </c>
      <c r="C4" s="202"/>
      <c r="D4" s="203"/>
      <c r="F4" s="201" t="s">
        <v>171</v>
      </c>
      <c r="G4" s="202"/>
      <c r="H4" s="202"/>
      <c r="I4" s="203"/>
    </row>
    <row r="5" spans="1:11" x14ac:dyDescent="0.25">
      <c r="A5" s="24" t="s">
        <v>94</v>
      </c>
      <c r="B5" s="201" t="s">
        <v>85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/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4</v>
      </c>
      <c r="D9" s="32">
        <v>123</v>
      </c>
      <c r="E9" s="32"/>
      <c r="F9" s="32"/>
      <c r="G9" s="32"/>
      <c r="H9" s="5">
        <f>G9+D9</f>
        <v>123</v>
      </c>
      <c r="I9" s="33">
        <f t="shared" ref="I9:I19" si="0">IF(H9&gt;29,H9/(C9+0.1*F9)*10^(B9),"")</f>
        <v>30750</v>
      </c>
      <c r="J9" s="7">
        <f>IF(H9&gt;29,LOG10(I9),"")</f>
        <v>4.4878451201114355</v>
      </c>
      <c r="K9" s="34">
        <f t="shared" ref="K9:K19" si="1">IF(H9&gt;29,(J9-$J$21)^2,"")</f>
        <v>2.6552723867483526E-6</v>
      </c>
    </row>
    <row r="10" spans="1:11" x14ac:dyDescent="0.25">
      <c r="A10" s="9">
        <v>2</v>
      </c>
      <c r="B10" s="29">
        <v>3</v>
      </c>
      <c r="C10" s="29">
        <v>4</v>
      </c>
      <c r="D10" s="29">
        <v>144</v>
      </c>
      <c r="E10" s="29"/>
      <c r="F10" s="29"/>
      <c r="G10" s="29"/>
      <c r="H10" s="5">
        <f t="shared" ref="H10:H19" si="2">G10+D10</f>
        <v>144</v>
      </c>
      <c r="I10" s="6">
        <f t="shared" si="0"/>
        <v>36000</v>
      </c>
      <c r="J10" s="7">
        <f t="shared" ref="J10:J19" si="3">IF(H10&gt;29,LOG10(I10),"")</f>
        <v>4.5563025007672868</v>
      </c>
      <c r="K10" s="8">
        <f t="shared" si="1"/>
        <v>4.9121709319718031E-3</v>
      </c>
    </row>
    <row r="11" spans="1:11" x14ac:dyDescent="0.25">
      <c r="A11" s="9">
        <v>3</v>
      </c>
      <c r="B11" s="29">
        <v>3</v>
      </c>
      <c r="C11" s="29">
        <v>4</v>
      </c>
      <c r="D11" s="29">
        <v>109</v>
      </c>
      <c r="E11" s="29"/>
      <c r="F11" s="29"/>
      <c r="G11" s="29"/>
      <c r="H11" s="5">
        <f>G11+D11</f>
        <v>109</v>
      </c>
      <c r="I11" s="6">
        <f>IF(H11&gt;29,H11/(C11+0.1*F11)*10^(B11),"")</f>
        <v>27250</v>
      </c>
      <c r="J11" s="7">
        <f t="shared" si="3"/>
        <v>4.4353665066126613</v>
      </c>
      <c r="K11" s="8">
        <f>IF(H11&gt;29,(J11-$J$21)^2,"")</f>
        <v>2.585632276933265E-3</v>
      </c>
    </row>
    <row r="12" spans="1:11" x14ac:dyDescent="0.25">
      <c r="A12" s="9">
        <v>4</v>
      </c>
      <c r="B12" s="29">
        <v>3</v>
      </c>
      <c r="C12" s="29">
        <v>4</v>
      </c>
      <c r="D12" s="29">
        <v>136</v>
      </c>
      <c r="E12" s="29"/>
      <c r="F12" s="29"/>
      <c r="G12" s="29"/>
      <c r="H12" s="10">
        <f t="shared" si="2"/>
        <v>136</v>
      </c>
      <c r="I12" s="6">
        <f t="shared" si="0"/>
        <v>34000</v>
      </c>
      <c r="J12" s="7">
        <f t="shared" si="3"/>
        <v>4.5314789170422554</v>
      </c>
      <c r="K12" s="8">
        <f t="shared" si="1"/>
        <v>2.0487661084008955E-3</v>
      </c>
    </row>
    <row r="13" spans="1:11" x14ac:dyDescent="0.25">
      <c r="A13" s="9">
        <v>5</v>
      </c>
      <c r="B13" s="29">
        <v>3</v>
      </c>
      <c r="C13" s="29">
        <v>4</v>
      </c>
      <c r="D13" s="29">
        <v>103</v>
      </c>
      <c r="E13" s="29"/>
      <c r="F13" s="29"/>
      <c r="G13" s="29"/>
      <c r="H13" s="10">
        <f t="shared" si="2"/>
        <v>103</v>
      </c>
      <c r="I13" s="6">
        <f t="shared" si="0"/>
        <v>25750</v>
      </c>
      <c r="J13" s="7">
        <f t="shared" si="3"/>
        <v>4.4107772333772095</v>
      </c>
      <c r="K13" s="8">
        <f t="shared" si="1"/>
        <v>5.6909500941410103E-3</v>
      </c>
    </row>
    <row r="14" spans="1:11" x14ac:dyDescent="0.25">
      <c r="A14" s="9">
        <v>6</v>
      </c>
      <c r="B14" s="29">
        <v>3</v>
      </c>
      <c r="C14" s="29">
        <v>4</v>
      </c>
      <c r="D14" s="29">
        <v>90</v>
      </c>
      <c r="E14" s="29"/>
      <c r="F14" s="29"/>
      <c r="G14" s="29"/>
      <c r="H14" s="10">
        <f t="shared" si="2"/>
        <v>90</v>
      </c>
      <c r="I14" s="6">
        <f t="shared" si="0"/>
        <v>22500</v>
      </c>
      <c r="J14" s="7">
        <f t="shared" si="3"/>
        <v>4.3521825181113627</v>
      </c>
      <c r="K14" s="8">
        <f t="shared" si="1"/>
        <v>1.7964872256005595E-2</v>
      </c>
    </row>
    <row r="15" spans="1:11" x14ac:dyDescent="0.25">
      <c r="A15" s="9">
        <v>7</v>
      </c>
      <c r="B15" s="29">
        <v>3</v>
      </c>
      <c r="C15" s="29">
        <v>4</v>
      </c>
      <c r="D15" s="29">
        <v>128</v>
      </c>
      <c r="E15" s="29"/>
      <c r="F15" s="29"/>
      <c r="G15" s="29"/>
      <c r="H15" s="10">
        <f t="shared" si="2"/>
        <v>128</v>
      </c>
      <c r="I15" s="6">
        <f t="shared" si="0"/>
        <v>32000</v>
      </c>
      <c r="J15" s="7">
        <f t="shared" si="3"/>
        <v>4.5051499783199063</v>
      </c>
      <c r="K15" s="8">
        <f t="shared" si="1"/>
        <v>3.5850994559512761E-4</v>
      </c>
    </row>
    <row r="16" spans="1:11" x14ac:dyDescent="0.25">
      <c r="A16" s="9">
        <v>8</v>
      </c>
      <c r="B16" s="29">
        <v>3</v>
      </c>
      <c r="C16" s="29">
        <v>4</v>
      </c>
      <c r="D16" s="29">
        <v>109</v>
      </c>
      <c r="E16" s="29"/>
      <c r="F16" s="29"/>
      <c r="G16" s="29"/>
      <c r="H16" s="10">
        <f t="shared" si="2"/>
        <v>109</v>
      </c>
      <c r="I16" s="6">
        <f t="shared" si="0"/>
        <v>27250</v>
      </c>
      <c r="J16" s="7">
        <f t="shared" si="3"/>
        <v>4.4353665066126613</v>
      </c>
      <c r="K16" s="8">
        <f t="shared" si="1"/>
        <v>2.585632276933265E-3</v>
      </c>
    </row>
    <row r="17" spans="1:11" x14ac:dyDescent="0.25">
      <c r="A17" s="9">
        <v>9</v>
      </c>
      <c r="B17" s="29">
        <v>3</v>
      </c>
      <c r="C17" s="29">
        <v>4</v>
      </c>
      <c r="D17" s="29">
        <v>112</v>
      </c>
      <c r="E17" s="29"/>
      <c r="F17" s="29"/>
      <c r="G17" s="29"/>
      <c r="H17" s="10">
        <f t="shared" si="2"/>
        <v>112</v>
      </c>
      <c r="I17" s="6">
        <f t="shared" si="0"/>
        <v>28000</v>
      </c>
      <c r="J17" s="7">
        <f t="shared" si="3"/>
        <v>4.4471580313422194</v>
      </c>
      <c r="K17" s="8">
        <f t="shared" si="1"/>
        <v>1.525495189249351E-3</v>
      </c>
    </row>
    <row r="18" spans="1:11" x14ac:dyDescent="0.25">
      <c r="A18" s="9">
        <v>10</v>
      </c>
      <c r="B18" s="29">
        <v>3</v>
      </c>
      <c r="C18" s="29">
        <v>4</v>
      </c>
      <c r="D18" s="29">
        <v>143</v>
      </c>
      <c r="E18" s="29"/>
      <c r="F18" s="29"/>
      <c r="G18" s="29"/>
      <c r="H18" s="10">
        <f t="shared" si="2"/>
        <v>143</v>
      </c>
      <c r="I18" s="6">
        <f t="shared" si="0"/>
        <v>35750</v>
      </c>
      <c r="J18" s="7">
        <f t="shared" si="3"/>
        <v>4.5532760461370998</v>
      </c>
      <c r="K18" s="8">
        <f t="shared" si="1"/>
        <v>4.4971008266792888E-3</v>
      </c>
    </row>
    <row r="19" spans="1:11" ht="13.8" thickBot="1" x14ac:dyDescent="0.3">
      <c r="A19" s="11">
        <v>11</v>
      </c>
      <c r="B19" s="30">
        <v>3</v>
      </c>
      <c r="C19" s="30">
        <v>4</v>
      </c>
      <c r="D19" s="30">
        <v>172</v>
      </c>
      <c r="E19" s="30"/>
      <c r="F19" s="30"/>
      <c r="G19" s="30"/>
      <c r="H19" s="12">
        <f t="shared" si="2"/>
        <v>172</v>
      </c>
      <c r="I19" s="27">
        <f t="shared" si="0"/>
        <v>43000</v>
      </c>
      <c r="J19" s="13">
        <f t="shared" si="3"/>
        <v>4.6334684555795862</v>
      </c>
      <c r="K19" s="25">
        <f t="shared" si="1"/>
        <v>2.1683397746501496E-2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31113.636363636364</v>
      </c>
      <c r="J21" s="17">
        <f>AVERAGE(J9:J19)</f>
        <v>4.4862156194557903</v>
      </c>
      <c r="K21" s="18">
        <f>SUM(K9:K19)</f>
        <v>6.385518292479786E-2</v>
      </c>
    </row>
    <row r="22" spans="1:11" ht="13.8" thickBot="1" x14ac:dyDescent="0.3">
      <c r="A22" s="200" t="s">
        <v>112</v>
      </c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5817.3916366826634</v>
      </c>
      <c r="J22" s="31">
        <f>STDEV(J9:J19)</f>
        <v>7.9909438068852576E-2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18.697241198980073</v>
      </c>
      <c r="J23" s="19">
        <f>J22/J21*100</f>
        <v>1.7812215204793511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7.9909438068852576E-2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4" sqref="B4:D4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3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{6EDD8653-9B58-467E-924B-F6F9FA1D84C4}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EDD8653-9B58-467E-924B-F6F9FA1D84C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2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275</v>
      </c>
      <c r="C3" s="202"/>
      <c r="D3" s="203"/>
      <c r="F3" s="3" t="s">
        <v>116</v>
      </c>
    </row>
    <row r="4" spans="1:11" x14ac:dyDescent="0.25">
      <c r="A4" s="1" t="s">
        <v>92</v>
      </c>
      <c r="B4" s="254" t="s">
        <v>172</v>
      </c>
      <c r="C4" s="255"/>
      <c r="D4" s="256"/>
      <c r="F4" s="254" t="s">
        <v>173</v>
      </c>
      <c r="G4" s="255"/>
      <c r="H4" s="255"/>
      <c r="I4" s="256"/>
    </row>
    <row r="5" spans="1:11" x14ac:dyDescent="0.25">
      <c r="A5" s="24" t="s">
        <v>94</v>
      </c>
      <c r="B5" s="201" t="s">
        <v>87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54" t="s">
        <v>88</v>
      </c>
      <c r="C6" s="255"/>
      <c r="D6" s="256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129">
        <v>2</v>
      </c>
      <c r="D9" s="32">
        <v>428</v>
      </c>
      <c r="E9" s="32">
        <v>4</v>
      </c>
      <c r="F9" s="129">
        <v>2</v>
      </c>
      <c r="G9" s="32">
        <v>49</v>
      </c>
      <c r="H9" s="5">
        <f>G9+D9</f>
        <v>477</v>
      </c>
      <c r="I9" s="33">
        <f>IF(H9&gt;29,H9/(C9+0.1*F9)*10^(B9),"")</f>
        <v>216818.18181818182</v>
      </c>
      <c r="J9" s="7">
        <f>IF(H9&gt;29,LOG10(I9),"")</f>
        <v>5.3360956982179077</v>
      </c>
      <c r="K9" s="34">
        <f t="shared" ref="K9:K19" si="0">IF(H9&gt;29,(J9-$J$21)^2,"")</f>
        <v>1.621688724666338E-2</v>
      </c>
    </row>
    <row r="10" spans="1:11" x14ac:dyDescent="0.25">
      <c r="A10" s="9">
        <v>2</v>
      </c>
      <c r="B10" s="32">
        <v>3</v>
      </c>
      <c r="C10" s="130">
        <v>2</v>
      </c>
      <c r="D10" s="29">
        <v>163</v>
      </c>
      <c r="E10" s="29">
        <v>4</v>
      </c>
      <c r="F10" s="130">
        <v>2</v>
      </c>
      <c r="G10" s="29">
        <v>17</v>
      </c>
      <c r="H10" s="5">
        <f t="shared" ref="H10:H19" si="1">G10+D10</f>
        <v>180</v>
      </c>
      <c r="I10" s="33">
        <f t="shared" ref="I10:I19" si="2">IF(H10&gt;29,H10/(C10+0.1*F10)*10^(B10),"")</f>
        <v>81818.181818181809</v>
      </c>
      <c r="J10" s="7">
        <f t="shared" ref="J10:J19" si="3">IF(H10&gt;29,LOG10(I10),"")</f>
        <v>4.9128498242810998</v>
      </c>
      <c r="K10" s="8">
        <f t="shared" si="0"/>
        <v>0.30315090807890827</v>
      </c>
    </row>
    <row r="11" spans="1:11" x14ac:dyDescent="0.25">
      <c r="A11" s="9">
        <v>3</v>
      </c>
      <c r="B11" s="29">
        <v>5</v>
      </c>
      <c r="C11" s="130">
        <v>2</v>
      </c>
      <c r="D11" s="29">
        <v>188</v>
      </c>
      <c r="E11" s="29"/>
      <c r="F11" s="130"/>
      <c r="G11" s="29"/>
      <c r="H11" s="5">
        <f>G11+D11</f>
        <v>188</v>
      </c>
      <c r="I11" s="33">
        <f t="shared" si="2"/>
        <v>9400000</v>
      </c>
      <c r="J11" s="7">
        <f t="shared" si="3"/>
        <v>6.9731278535996983</v>
      </c>
      <c r="K11" s="8">
        <f>IF(H11&gt;29,(J11-$J$21)^2,"")</f>
        <v>2.2791536684975089</v>
      </c>
    </row>
    <row r="12" spans="1:11" x14ac:dyDescent="0.25">
      <c r="A12" s="9">
        <v>4</v>
      </c>
      <c r="B12" s="29">
        <v>3</v>
      </c>
      <c r="C12" s="130">
        <v>2</v>
      </c>
      <c r="D12" s="29">
        <v>235</v>
      </c>
      <c r="E12" s="29">
        <v>4</v>
      </c>
      <c r="F12" s="130">
        <v>2</v>
      </c>
      <c r="G12" s="29">
        <v>37</v>
      </c>
      <c r="H12" s="10">
        <f t="shared" si="1"/>
        <v>272</v>
      </c>
      <c r="I12" s="33">
        <f t="shared" si="2"/>
        <v>123636.36363636363</v>
      </c>
      <c r="J12" s="7">
        <f t="shared" si="3"/>
        <v>5.0921462232119925</v>
      </c>
      <c r="K12" s="8">
        <f t="shared" si="0"/>
        <v>0.1378599901764602</v>
      </c>
    </row>
    <row r="13" spans="1:11" x14ac:dyDescent="0.25">
      <c r="A13" s="9">
        <v>5</v>
      </c>
      <c r="B13" s="29">
        <v>3</v>
      </c>
      <c r="C13" s="130">
        <v>2</v>
      </c>
      <c r="D13" s="29">
        <v>87</v>
      </c>
      <c r="E13" s="29">
        <v>4</v>
      </c>
      <c r="F13" s="130">
        <v>2</v>
      </c>
      <c r="G13" s="29">
        <v>8</v>
      </c>
      <c r="H13" s="10">
        <f t="shared" si="1"/>
        <v>95</v>
      </c>
      <c r="I13" s="33">
        <f t="shared" si="2"/>
        <v>43181.818181818177</v>
      </c>
      <c r="J13" s="7">
        <f t="shared" si="3"/>
        <v>4.6353009244666419</v>
      </c>
      <c r="K13" s="8">
        <f t="shared" si="0"/>
        <v>0.68581638373919429</v>
      </c>
    </row>
    <row r="14" spans="1:11" x14ac:dyDescent="0.25">
      <c r="A14" s="9">
        <v>6</v>
      </c>
      <c r="B14" s="29">
        <v>4</v>
      </c>
      <c r="C14" s="130">
        <v>2</v>
      </c>
      <c r="D14" s="29">
        <v>119</v>
      </c>
      <c r="E14" s="29">
        <v>5</v>
      </c>
      <c r="F14" s="130">
        <v>2</v>
      </c>
      <c r="G14" s="29">
        <v>6</v>
      </c>
      <c r="H14" s="10">
        <f t="shared" si="1"/>
        <v>125</v>
      </c>
      <c r="I14" s="33">
        <f t="shared" si="2"/>
        <v>568181.81818181812</v>
      </c>
      <c r="J14" s="7">
        <f t="shared" si="3"/>
        <v>5.7544873321858505</v>
      </c>
      <c r="K14" s="8">
        <f t="shared" si="0"/>
        <v>8.470782723982026E-2</v>
      </c>
    </row>
    <row r="15" spans="1:11" x14ac:dyDescent="0.25">
      <c r="A15" s="9">
        <v>7</v>
      </c>
      <c r="B15" s="29">
        <v>4</v>
      </c>
      <c r="C15" s="130">
        <v>2</v>
      </c>
      <c r="D15" s="29">
        <v>157</v>
      </c>
      <c r="E15" s="29">
        <v>5</v>
      </c>
      <c r="F15" s="130">
        <v>2</v>
      </c>
      <c r="G15" s="29">
        <v>14</v>
      </c>
      <c r="H15" s="10">
        <f t="shared" si="1"/>
        <v>171</v>
      </c>
      <c r="I15" s="33">
        <f t="shared" si="2"/>
        <v>777272.72727272718</v>
      </c>
      <c r="J15" s="7">
        <f t="shared" si="3"/>
        <v>5.8905734295699475</v>
      </c>
      <c r="K15" s="8">
        <f t="shared" si="0"/>
        <v>0.18244190657897247</v>
      </c>
    </row>
    <row r="16" spans="1:11" x14ac:dyDescent="0.25">
      <c r="A16" s="9">
        <v>8</v>
      </c>
      <c r="B16" s="32">
        <v>3</v>
      </c>
      <c r="C16" s="130">
        <v>2</v>
      </c>
      <c r="D16" s="29">
        <v>149</v>
      </c>
      <c r="E16" s="29">
        <v>4</v>
      </c>
      <c r="F16" s="130">
        <v>2</v>
      </c>
      <c r="G16" s="29">
        <v>24</v>
      </c>
      <c r="H16" s="10">
        <f t="shared" si="1"/>
        <v>173</v>
      </c>
      <c r="I16" s="33">
        <f t="shared" si="2"/>
        <v>78636.363636363632</v>
      </c>
      <c r="J16" s="7">
        <f t="shared" si="3"/>
        <v>4.8956234223065893</v>
      </c>
      <c r="K16" s="8">
        <f t="shared" si="0"/>
        <v>0.322417075137447</v>
      </c>
    </row>
    <row r="17" spans="1:11" x14ac:dyDescent="0.25">
      <c r="A17" s="9">
        <v>9</v>
      </c>
      <c r="B17" s="32">
        <v>3</v>
      </c>
      <c r="C17" s="130">
        <v>2</v>
      </c>
      <c r="D17" s="29">
        <v>356</v>
      </c>
      <c r="E17" s="29">
        <v>4</v>
      </c>
      <c r="F17" s="130">
        <v>2</v>
      </c>
      <c r="G17" s="29">
        <v>32</v>
      </c>
      <c r="H17" s="10">
        <f>G17+D17</f>
        <v>388</v>
      </c>
      <c r="I17" s="33">
        <f t="shared" si="2"/>
        <v>176363.63636363635</v>
      </c>
      <c r="J17" s="7">
        <f t="shared" si="3"/>
        <v>5.2464090447720011</v>
      </c>
      <c r="K17" s="8">
        <f t="shared" si="0"/>
        <v>4.7102974165799984E-2</v>
      </c>
    </row>
    <row r="18" spans="1:11" x14ac:dyDescent="0.25">
      <c r="A18" s="9">
        <v>10</v>
      </c>
      <c r="B18" s="32">
        <v>3</v>
      </c>
      <c r="C18" s="130">
        <v>2</v>
      </c>
      <c r="D18" s="29">
        <v>277</v>
      </c>
      <c r="E18" s="29">
        <v>4</v>
      </c>
      <c r="F18" s="130">
        <v>2</v>
      </c>
      <c r="G18" s="29">
        <v>38</v>
      </c>
      <c r="H18" s="10">
        <f>G18+D18</f>
        <v>315</v>
      </c>
      <c r="I18" s="33">
        <f t="shared" si="2"/>
        <v>143181.81818181815</v>
      </c>
      <c r="J18" s="7">
        <f t="shared" si="3"/>
        <v>5.1558878729673943</v>
      </c>
      <c r="K18" s="8">
        <f t="shared" si="0"/>
        <v>9.4589074140374707E-2</v>
      </c>
    </row>
    <row r="19" spans="1:11" ht="13.8" thickBot="1" x14ac:dyDescent="0.3">
      <c r="A19" s="11">
        <v>11</v>
      </c>
      <c r="B19" s="30">
        <v>4</v>
      </c>
      <c r="C19" s="131">
        <v>2</v>
      </c>
      <c r="D19" s="30">
        <v>324</v>
      </c>
      <c r="E19" s="30">
        <v>5</v>
      </c>
      <c r="F19" s="131">
        <v>2</v>
      </c>
      <c r="G19" s="30">
        <v>29</v>
      </c>
      <c r="H19" s="12">
        <f t="shared" si="1"/>
        <v>353</v>
      </c>
      <c r="I19" s="33">
        <f t="shared" si="2"/>
        <v>1604545.4545454544</v>
      </c>
      <c r="J19" s="13">
        <f t="shared" si="3"/>
        <v>6.2053520245656166</v>
      </c>
      <c r="K19" s="25">
        <f t="shared" si="0"/>
        <v>0.55043161088631487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1201239.6694214875</v>
      </c>
      <c r="J21" s="17">
        <f>AVERAGE(J9:J19)</f>
        <v>5.4634412409222497</v>
      </c>
      <c r="K21" s="18">
        <f>SUM(K9:K19)</f>
        <v>4.7038883058874639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2758939.0934038293</v>
      </c>
      <c r="J22" s="31">
        <f>STDEV(J9:J19)</f>
        <v>0.68584898526479288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229.67432425308795</v>
      </c>
      <c r="J23" s="19">
        <f>J22/J21*100</f>
        <v>12.553424755951415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0.6858489852647931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J28" sqref="J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2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{39BDAF7F-227A-40A3-A9E7-1445915DB672}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9BDAF7F-227A-40A3-A9E7-1445915DB67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59999389629810485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2.1093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340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341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410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3</v>
      </c>
      <c r="D9" s="32">
        <f>20+11+10+45+39+27</f>
        <v>152</v>
      </c>
      <c r="E9" s="32">
        <v>4</v>
      </c>
      <c r="F9" s="32">
        <v>3</v>
      </c>
      <c r="G9" s="32">
        <f>3+1+5+6+2</f>
        <v>17</v>
      </c>
      <c r="H9" s="5">
        <f>G9+D9</f>
        <v>169</v>
      </c>
      <c r="I9" s="33">
        <f t="shared" ref="I9:I19" si="0">IF(H9&gt;29,H9/(C9+0.1*F9)*10^(B9),"")</f>
        <v>51212.121212121216</v>
      </c>
      <c r="J9" s="7">
        <f>IF(H9&gt;29,LOG10(I9),"")</f>
        <v>4.7093727647357859</v>
      </c>
      <c r="K9" s="34">
        <f>IF(H9&gt;29,(J9-$J$21)^2,"")</f>
        <v>9.7345523351581641E-4</v>
      </c>
    </row>
    <row r="10" spans="1:11" x14ac:dyDescent="0.25">
      <c r="A10" s="9">
        <v>2</v>
      </c>
      <c r="B10" s="32">
        <v>3</v>
      </c>
      <c r="C10" s="32">
        <v>3</v>
      </c>
      <c r="D10" s="29">
        <f>11+14+20+40+52+39</f>
        <v>176</v>
      </c>
      <c r="E10" s="32">
        <v>4</v>
      </c>
      <c r="F10" s="32">
        <v>3</v>
      </c>
      <c r="G10" s="29">
        <f>1+1+1+2+1</f>
        <v>6</v>
      </c>
      <c r="H10" s="5">
        <f t="shared" ref="H10:H19" si="1">G10+D10</f>
        <v>182</v>
      </c>
      <c r="I10" s="6">
        <f t="shared" si="0"/>
        <v>55151.515151515159</v>
      </c>
      <c r="J10" s="7">
        <f t="shared" ref="J10:J19" si="2">IF(H10&gt;29,LOG10(I10),"")</f>
        <v>4.7415574481071872</v>
      </c>
      <c r="K10" s="8">
        <f t="shared" ref="K10:K19" si="3">IF(H10&gt;29,(J10-$J$21)^2,"")</f>
        <v>4.0176490338382541E-3</v>
      </c>
    </row>
    <row r="11" spans="1:11" x14ac:dyDescent="0.25">
      <c r="A11" s="9">
        <v>3</v>
      </c>
      <c r="B11" s="32">
        <v>3</v>
      </c>
      <c r="C11" s="32">
        <v>3</v>
      </c>
      <c r="D11" s="29">
        <f>6+4+7+24+13+18</f>
        <v>72</v>
      </c>
      <c r="E11" s="32">
        <v>4</v>
      </c>
      <c r="F11" s="32">
        <v>3</v>
      </c>
      <c r="G11" s="29">
        <f>1+3+5+2</f>
        <v>11</v>
      </c>
      <c r="H11" s="5">
        <f>G11+D11</f>
        <v>83</v>
      </c>
      <c r="I11" s="6">
        <f>IF(H11&gt;29,H11/(C11+0.1*F11)*10^(B11),"")</f>
        <v>25151.515151515152</v>
      </c>
      <c r="J11" s="7">
        <f t="shared" si="2"/>
        <v>4.4005641524981867</v>
      </c>
      <c r="K11" s="8">
        <f>IF(H11&gt;29,(J11-$J$21)^2,"")</f>
        <v>7.706640604564019E-2</v>
      </c>
    </row>
    <row r="12" spans="1:11" x14ac:dyDescent="0.25">
      <c r="A12" s="9">
        <v>4</v>
      </c>
      <c r="B12" s="32">
        <v>3</v>
      </c>
      <c r="C12" s="32">
        <v>3</v>
      </c>
      <c r="D12" s="29">
        <f>17+14+21+36+37+42</f>
        <v>167</v>
      </c>
      <c r="E12" s="32">
        <v>4</v>
      </c>
      <c r="F12" s="32">
        <v>3</v>
      </c>
      <c r="G12" s="29">
        <f>3+1+1+4+4+3</f>
        <v>16</v>
      </c>
      <c r="H12" s="10">
        <f t="shared" si="1"/>
        <v>183</v>
      </c>
      <c r="I12" s="6">
        <f t="shared" si="0"/>
        <v>55454.545454545463</v>
      </c>
      <c r="J12" s="7">
        <f t="shared" si="2"/>
        <v>4.7439371498525418</v>
      </c>
      <c r="K12" s="8">
        <f t="shared" si="3"/>
        <v>4.3249864594241101E-3</v>
      </c>
    </row>
    <row r="13" spans="1:11" x14ac:dyDescent="0.25">
      <c r="A13" s="9">
        <v>5</v>
      </c>
      <c r="B13" s="32">
        <v>3</v>
      </c>
      <c r="C13" s="32">
        <v>3</v>
      </c>
      <c r="D13" s="29">
        <f>12+17+15+35+43+34</f>
        <v>156</v>
      </c>
      <c r="E13" s="32">
        <v>4</v>
      </c>
      <c r="F13" s="32">
        <v>3</v>
      </c>
      <c r="G13" s="29">
        <f>4+2+4+3</f>
        <v>13</v>
      </c>
      <c r="H13" s="10">
        <f t="shared" si="1"/>
        <v>169</v>
      </c>
      <c r="I13" s="6">
        <f t="shared" si="0"/>
        <v>51212.121212121216</v>
      </c>
      <c r="J13" s="7">
        <f t="shared" si="2"/>
        <v>4.7093727647357859</v>
      </c>
      <c r="K13" s="8">
        <f t="shared" si="3"/>
        <v>9.7345523351581641E-4</v>
      </c>
    </row>
    <row r="14" spans="1:11" x14ac:dyDescent="0.25">
      <c r="A14" s="9">
        <v>6</v>
      </c>
      <c r="B14" s="32">
        <v>3</v>
      </c>
      <c r="C14" s="32">
        <v>3</v>
      </c>
      <c r="D14" s="29">
        <f>16+10+24+40+42+51</f>
        <v>183</v>
      </c>
      <c r="E14" s="32">
        <v>4</v>
      </c>
      <c r="F14" s="32">
        <v>3</v>
      </c>
      <c r="G14" s="29">
        <f>1+1+1+3+1</f>
        <v>7</v>
      </c>
      <c r="H14" s="10">
        <f t="shared" si="1"/>
        <v>190</v>
      </c>
      <c r="I14" s="6">
        <f t="shared" si="0"/>
        <v>57575.757575757576</v>
      </c>
      <c r="J14" s="7">
        <f t="shared" si="2"/>
        <v>4.7602396610749418</v>
      </c>
      <c r="K14" s="8">
        <f t="shared" si="3"/>
        <v>6.7350155441113649E-3</v>
      </c>
    </row>
    <row r="15" spans="1:11" x14ac:dyDescent="0.25">
      <c r="A15" s="9">
        <v>7</v>
      </c>
      <c r="B15" s="32">
        <v>3</v>
      </c>
      <c r="C15" s="32">
        <v>3</v>
      </c>
      <c r="D15" s="29">
        <f>12+11+9+29+37+28</f>
        <v>126</v>
      </c>
      <c r="E15" s="32">
        <v>4</v>
      </c>
      <c r="F15" s="32">
        <v>3</v>
      </c>
      <c r="G15" s="29">
        <f>3+3+2+2+5</f>
        <v>15</v>
      </c>
      <c r="H15" s="10">
        <f t="shared" si="1"/>
        <v>141</v>
      </c>
      <c r="I15" s="6">
        <f t="shared" si="0"/>
        <v>42727.272727272728</v>
      </c>
      <c r="J15" s="7">
        <f t="shared" si="2"/>
        <v>4.6307051727774926</v>
      </c>
      <c r="K15" s="8">
        <f t="shared" si="3"/>
        <v>2.2531491102413246E-3</v>
      </c>
    </row>
    <row r="16" spans="1:11" x14ac:dyDescent="0.25">
      <c r="A16" s="9">
        <v>8</v>
      </c>
      <c r="B16" s="32">
        <v>3</v>
      </c>
      <c r="C16" s="32">
        <v>3</v>
      </c>
      <c r="D16" s="29">
        <f>15+13+12+36+38+42</f>
        <v>156</v>
      </c>
      <c r="E16" s="32">
        <v>4</v>
      </c>
      <c r="F16" s="32">
        <v>3</v>
      </c>
      <c r="G16" s="29">
        <f>1+2+1+4+3+4</f>
        <v>15</v>
      </c>
      <c r="H16" s="10">
        <f t="shared" si="1"/>
        <v>171</v>
      </c>
      <c r="I16" s="6">
        <f t="shared" si="0"/>
        <v>51818.181818181823</v>
      </c>
      <c r="J16" s="7">
        <f t="shared" si="2"/>
        <v>4.7144821705142661</v>
      </c>
      <c r="K16" s="8">
        <f t="shared" si="3"/>
        <v>1.3183906761787241E-3</v>
      </c>
    </row>
    <row r="17" spans="1:11" x14ac:dyDescent="0.25">
      <c r="A17" s="9">
        <v>9</v>
      </c>
      <c r="B17" s="32">
        <v>3</v>
      </c>
      <c r="C17" s="32">
        <v>3</v>
      </c>
      <c r="D17" s="29">
        <f>11+8+14+34+34+42</f>
        <v>143</v>
      </c>
      <c r="E17" s="32">
        <v>4</v>
      </c>
      <c r="F17" s="32">
        <v>3</v>
      </c>
      <c r="G17" s="29">
        <f>1+2+2+1+3+2</f>
        <v>11</v>
      </c>
      <c r="H17" s="10">
        <f t="shared" si="1"/>
        <v>154</v>
      </c>
      <c r="I17" s="6">
        <f t="shared" si="0"/>
        <v>46666.666666666672</v>
      </c>
      <c r="J17" s="7">
        <f t="shared" si="2"/>
        <v>4.6690067809585756</v>
      </c>
      <c r="K17" s="8">
        <f t="shared" si="3"/>
        <v>8.4010783355585386E-5</v>
      </c>
    </row>
    <row r="18" spans="1:11" x14ac:dyDescent="0.25">
      <c r="A18" s="9">
        <v>10</v>
      </c>
      <c r="B18" s="32">
        <v>3</v>
      </c>
      <c r="C18" s="32">
        <v>3</v>
      </c>
      <c r="D18" s="29">
        <f>11+10+9+29+49+32</f>
        <v>140</v>
      </c>
      <c r="E18" s="32">
        <v>4</v>
      </c>
      <c r="F18" s="32">
        <v>3</v>
      </c>
      <c r="G18" s="29">
        <f>2+1+1+3+3+3</f>
        <v>13</v>
      </c>
      <c r="H18" s="10">
        <f t="shared" si="1"/>
        <v>153</v>
      </c>
      <c r="I18" s="6">
        <f t="shared" si="0"/>
        <v>46363.636363636368</v>
      </c>
      <c r="J18" s="7">
        <f t="shared" si="2"/>
        <v>4.6661774909397113</v>
      </c>
      <c r="K18" s="8">
        <f t="shared" si="3"/>
        <v>1.4388073678834568E-4</v>
      </c>
    </row>
    <row r="19" spans="1:11" ht="13.8" thickBot="1" x14ac:dyDescent="0.3">
      <c r="A19" s="11">
        <v>11</v>
      </c>
      <c r="B19" s="32">
        <v>3</v>
      </c>
      <c r="C19" s="156">
        <v>3</v>
      </c>
      <c r="D19" s="157">
        <f>11+14+10+47+38+35</f>
        <v>155</v>
      </c>
      <c r="E19" s="32">
        <v>4</v>
      </c>
      <c r="F19" s="32">
        <v>3</v>
      </c>
      <c r="G19" s="30">
        <f>1+2+2+4+5+2</f>
        <v>16</v>
      </c>
      <c r="H19" s="12">
        <f t="shared" si="1"/>
        <v>171</v>
      </c>
      <c r="I19" s="27">
        <f t="shared" si="0"/>
        <v>51818.181818181823</v>
      </c>
      <c r="J19" s="13">
        <f t="shared" si="2"/>
        <v>4.7144821705142661</v>
      </c>
      <c r="K19" s="25">
        <f t="shared" si="3"/>
        <v>1.3183906761787241E-3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48650.137741046834</v>
      </c>
      <c r="J21" s="17">
        <f>AVERAGE(J9:J19)</f>
        <v>4.678172520609885</v>
      </c>
      <c r="K21" s="18">
        <f>SUM(K9:K19)</f>
        <v>9.9208789532788264E-2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8932.3173185268952</v>
      </c>
      <c r="J22" s="31">
        <f>STDEV(J9:J19)</f>
        <v>9.9603609137816018E-2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18.360312495046788</v>
      </c>
      <c r="J23" s="19">
        <f>J22/J21*100</f>
        <v>2.1291136378363165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9.9603609137816018E-2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29" spans="1:11" x14ac:dyDescent="0.25">
      <c r="J29" s="151"/>
    </row>
    <row r="30" spans="1:11" x14ac:dyDescent="0.25">
      <c r="A30" t="s">
        <v>102</v>
      </c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{DEB5CE8D-40E4-4F48-823C-163B794FFC57}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DEB5CE8D-40E4-4F48-823C-163B794FFC5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2.55468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274</v>
      </c>
      <c r="C3" s="202"/>
      <c r="D3" s="203"/>
      <c r="F3" s="3" t="s">
        <v>116</v>
      </c>
    </row>
    <row r="4" spans="1:11" x14ac:dyDescent="0.25">
      <c r="A4" s="1" t="s">
        <v>92</v>
      </c>
      <c r="B4" s="254" t="s">
        <v>172</v>
      </c>
      <c r="C4" s="255"/>
      <c r="D4" s="256"/>
      <c r="F4" s="254" t="s">
        <v>173</v>
      </c>
      <c r="G4" s="255"/>
      <c r="H4" s="255"/>
      <c r="I4" s="256"/>
    </row>
    <row r="5" spans="1:11" x14ac:dyDescent="0.25">
      <c r="A5" s="24" t="s">
        <v>94</v>
      </c>
      <c r="B5" s="201" t="s">
        <v>87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54" t="s">
        <v>89</v>
      </c>
      <c r="C6" s="255"/>
      <c r="D6" s="256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3</v>
      </c>
      <c r="C9" s="32">
        <v>2</v>
      </c>
      <c r="D9" s="32">
        <v>96</v>
      </c>
      <c r="E9" s="32">
        <v>4</v>
      </c>
      <c r="F9" s="32">
        <v>2</v>
      </c>
      <c r="G9" s="32">
        <v>3</v>
      </c>
      <c r="H9" s="5">
        <f>G9+D9</f>
        <v>99</v>
      </c>
      <c r="I9" s="33">
        <f>IF(H9&gt;29,H9/(C9+0.1*F9)*10^(B9),"")</f>
        <v>44999.999999999993</v>
      </c>
      <c r="J9" s="7">
        <f>IF(H9&gt;29,LOG10(I9),"")</f>
        <v>4.653212513775344</v>
      </c>
      <c r="K9" s="34">
        <f t="shared" ref="K9:K19" si="0">IF(H9&gt;29,(J9-$J$21)^2,"")</f>
        <v>9.4548837213238247E-5</v>
      </c>
    </row>
    <row r="10" spans="1:11" x14ac:dyDescent="0.25">
      <c r="A10" s="9">
        <v>2</v>
      </c>
      <c r="B10" s="32">
        <v>3</v>
      </c>
      <c r="C10" s="29">
        <v>2</v>
      </c>
      <c r="D10" s="29">
        <v>40</v>
      </c>
      <c r="E10" s="32">
        <v>4</v>
      </c>
      <c r="F10" s="29">
        <v>2</v>
      </c>
      <c r="G10" s="29">
        <v>5</v>
      </c>
      <c r="H10" s="5">
        <f t="shared" ref="H10:H19" si="1">G10+D10</f>
        <v>45</v>
      </c>
      <c r="I10" s="33">
        <f t="shared" ref="I10:I19" si="2">IF(H10&gt;29,H10/(C10+0.1*F10)*10^(B10),"")</f>
        <v>20454.545454545452</v>
      </c>
      <c r="J10" s="7">
        <f t="shared" ref="J10:J19" si="3">IF(H10&gt;29,LOG10(I10),"")</f>
        <v>4.3107898329531373</v>
      </c>
      <c r="K10" s="8">
        <f t="shared" si="0"/>
        <v>0.11068866331641818</v>
      </c>
    </row>
    <row r="11" spans="1:11" x14ac:dyDescent="0.25">
      <c r="A11" s="9">
        <v>3</v>
      </c>
      <c r="B11" s="32">
        <v>3</v>
      </c>
      <c r="C11" s="29">
        <v>2</v>
      </c>
      <c r="D11" s="29">
        <v>55</v>
      </c>
      <c r="E11" s="32">
        <v>4</v>
      </c>
      <c r="F11" s="29">
        <v>2</v>
      </c>
      <c r="G11" s="29">
        <v>3</v>
      </c>
      <c r="H11" s="5">
        <f>G11+D11</f>
        <v>58</v>
      </c>
      <c r="I11" s="33">
        <f>IF(H11&gt;29,H11/(C11+0.1*F11)*10^(B11),"")</f>
        <v>26363.63636363636</v>
      </c>
      <c r="J11" s="7">
        <f t="shared" si="3"/>
        <v>4.4210053127407312</v>
      </c>
      <c r="K11" s="8">
        <f>IF(H11&gt;29,(J11-$J$21)^2,"")</f>
        <v>4.9498942656001306E-2</v>
      </c>
    </row>
    <row r="12" spans="1:11" x14ac:dyDescent="0.25">
      <c r="A12" s="9">
        <v>4</v>
      </c>
      <c r="B12" s="32">
        <v>3</v>
      </c>
      <c r="C12" s="29">
        <v>2</v>
      </c>
      <c r="D12" s="29">
        <v>222</v>
      </c>
      <c r="E12" s="32">
        <v>4</v>
      </c>
      <c r="F12" s="29">
        <v>2</v>
      </c>
      <c r="G12" s="29">
        <v>19</v>
      </c>
      <c r="H12" s="10">
        <f t="shared" si="1"/>
        <v>241</v>
      </c>
      <c r="I12" s="33">
        <f t="shared" si="2"/>
        <v>109545.45454545453</v>
      </c>
      <c r="J12" s="7">
        <f>IF(H12&gt;29,LOG10(I12),"")</f>
        <v>5.0395943617526617</v>
      </c>
      <c r="K12" s="8">
        <f t="shared" si="0"/>
        <v>0.15689954385166802</v>
      </c>
    </row>
    <row r="13" spans="1:11" x14ac:dyDescent="0.25">
      <c r="A13" s="9">
        <v>5</v>
      </c>
      <c r="B13" s="32">
        <v>3</v>
      </c>
      <c r="C13" s="29">
        <v>2</v>
      </c>
      <c r="D13" s="29">
        <v>90</v>
      </c>
      <c r="E13" s="32">
        <v>4</v>
      </c>
      <c r="F13" s="29">
        <v>2</v>
      </c>
      <c r="G13" s="29">
        <v>6</v>
      </c>
      <c r="H13" s="10">
        <f t="shared" si="1"/>
        <v>96</v>
      </c>
      <c r="I13" s="33">
        <f t="shared" si="2"/>
        <v>43636.363636363632</v>
      </c>
      <c r="J13" s="7">
        <f t="shared" si="3"/>
        <v>4.6398485522173623</v>
      </c>
      <c r="K13" s="8">
        <f t="shared" si="0"/>
        <v>1.3252067449708278E-5</v>
      </c>
    </row>
    <row r="14" spans="1:11" x14ac:dyDescent="0.25">
      <c r="A14" s="9">
        <v>6</v>
      </c>
      <c r="B14" s="32">
        <v>3</v>
      </c>
      <c r="C14" s="29">
        <v>2</v>
      </c>
      <c r="D14" s="29">
        <v>70</v>
      </c>
      <c r="E14" s="32">
        <v>4</v>
      </c>
      <c r="F14" s="29">
        <v>2</v>
      </c>
      <c r="G14" s="29">
        <v>5</v>
      </c>
      <c r="H14" s="10">
        <f t="shared" si="1"/>
        <v>75</v>
      </c>
      <c r="I14" s="33">
        <f t="shared" si="2"/>
        <v>34090.909090909088</v>
      </c>
      <c r="J14" s="7">
        <f t="shared" si="3"/>
        <v>4.5326385825694935</v>
      </c>
      <c r="K14" s="8">
        <f t="shared" si="0"/>
        <v>1.2287790909507724E-2</v>
      </c>
    </row>
    <row r="15" spans="1:11" x14ac:dyDescent="0.25">
      <c r="A15" s="9">
        <v>7</v>
      </c>
      <c r="B15" s="32">
        <v>3</v>
      </c>
      <c r="C15" s="29">
        <v>2</v>
      </c>
      <c r="D15" s="29">
        <v>66</v>
      </c>
      <c r="E15" s="32">
        <v>4</v>
      </c>
      <c r="F15" s="29">
        <v>2</v>
      </c>
      <c r="G15" s="29">
        <v>6</v>
      </c>
      <c r="H15" s="10">
        <f t="shared" si="1"/>
        <v>72</v>
      </c>
      <c r="I15" s="33">
        <f t="shared" si="2"/>
        <v>32727.272727272728</v>
      </c>
      <c r="J15" s="7">
        <f t="shared" si="3"/>
        <v>4.5149098156090623</v>
      </c>
      <c r="K15" s="8">
        <f t="shared" si="0"/>
        <v>1.6532578663614819E-2</v>
      </c>
    </row>
    <row r="16" spans="1:11" x14ac:dyDescent="0.25">
      <c r="A16" s="9">
        <v>8</v>
      </c>
      <c r="B16" s="32">
        <v>3</v>
      </c>
      <c r="C16" s="29">
        <v>2</v>
      </c>
      <c r="D16" s="29">
        <v>186</v>
      </c>
      <c r="E16" s="32">
        <v>4</v>
      </c>
      <c r="F16" s="29">
        <v>2</v>
      </c>
      <c r="G16" s="29">
        <v>19</v>
      </c>
      <c r="H16" s="10">
        <f t="shared" si="1"/>
        <v>205</v>
      </c>
      <c r="I16" s="33">
        <f t="shared" si="2"/>
        <v>93181.818181818177</v>
      </c>
      <c r="J16" s="7">
        <f t="shared" si="3"/>
        <v>4.9693311802335485</v>
      </c>
      <c r="K16" s="8">
        <f t="shared" si="0"/>
        <v>0.10617319736368951</v>
      </c>
    </row>
    <row r="17" spans="1:11" x14ac:dyDescent="0.25">
      <c r="A17" s="9">
        <v>9</v>
      </c>
      <c r="B17" s="32">
        <v>3</v>
      </c>
      <c r="C17" s="29">
        <v>2</v>
      </c>
      <c r="D17" s="29">
        <v>72</v>
      </c>
      <c r="E17" s="32">
        <v>4</v>
      </c>
      <c r="F17" s="29">
        <v>2</v>
      </c>
      <c r="G17" s="29">
        <v>11</v>
      </c>
      <c r="H17" s="10">
        <f>G17+D17</f>
        <v>83</v>
      </c>
      <c r="I17" s="33">
        <f t="shared" si="2"/>
        <v>37727.272727272728</v>
      </c>
      <c r="J17" s="7">
        <f t="shared" si="3"/>
        <v>4.576655411553868</v>
      </c>
      <c r="K17" s="8">
        <f t="shared" si="0"/>
        <v>4.4667139931866984E-3</v>
      </c>
    </row>
    <row r="18" spans="1:11" x14ac:dyDescent="0.25">
      <c r="A18" s="9">
        <v>10</v>
      </c>
      <c r="B18" s="32">
        <v>3</v>
      </c>
      <c r="C18" s="29">
        <v>2</v>
      </c>
      <c r="D18" s="29">
        <v>44</v>
      </c>
      <c r="E18" s="32">
        <v>4</v>
      </c>
      <c r="F18" s="29">
        <v>2</v>
      </c>
      <c r="G18" s="29">
        <v>2</v>
      </c>
      <c r="H18" s="10">
        <f t="shared" si="1"/>
        <v>46</v>
      </c>
      <c r="I18" s="33">
        <f t="shared" si="2"/>
        <v>20909.090909090908</v>
      </c>
      <c r="J18" s="7">
        <f t="shared" si="3"/>
        <v>4.3203351508593677</v>
      </c>
      <c r="K18" s="8">
        <f t="shared" si="0"/>
        <v>0.10442833985541269</v>
      </c>
    </row>
    <row r="19" spans="1:11" ht="13.8" thickBot="1" x14ac:dyDescent="0.3">
      <c r="A19" s="11">
        <v>11</v>
      </c>
      <c r="B19" s="30">
        <v>3</v>
      </c>
      <c r="C19" s="30">
        <v>2</v>
      </c>
      <c r="D19" s="30">
        <v>253</v>
      </c>
      <c r="E19" s="30">
        <v>4</v>
      </c>
      <c r="F19" s="30">
        <v>2</v>
      </c>
      <c r="G19" s="30">
        <v>24</v>
      </c>
      <c r="H19" s="12">
        <f t="shared" si="1"/>
        <v>277</v>
      </c>
      <c r="I19" s="33">
        <f t="shared" si="2"/>
        <v>125909.0909090909</v>
      </c>
      <c r="J19" s="13">
        <f t="shared" si="3"/>
        <v>5.1000570882422425</v>
      </c>
      <c r="K19" s="25">
        <f t="shared" si="0"/>
        <v>0.20845451860794673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53595.041322314042</v>
      </c>
      <c r="J21" s="17">
        <f>AVERAGE(J9:J19)</f>
        <v>4.6434888911369834</v>
      </c>
      <c r="K21" s="18">
        <f>SUM(K9:K19)</f>
        <v>0.76953809012210861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37517.739355418213</v>
      </c>
      <c r="J22" s="31">
        <f>STDEV(J9:J19)</f>
        <v>0.27740549564168848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70.002258473486577</v>
      </c>
      <c r="J23" s="19">
        <f>J22/J21*100</f>
        <v>5.9740747128989957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0.27740549564168848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80">
      <selection activeCell="B3" sqref="B3:D3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H9:H19">
    <cfRule type="cellIs" dxfId="11" priority="2" operator="lessThan">
      <formula>30</formula>
    </cfRule>
  </conditionalFormatting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{603DEA39-6DE0-402A-B328-2B981EAF2A57}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03DEA39-6DE0-402A-B328-2B981EAF2A5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42"/>
  <sheetViews>
    <sheetView zoomScale="80" zoomScaleNormal="80" zoomScaleSheetLayoutView="80" workbookViewId="0">
      <selection activeCell="J31" sqref="I30:J31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3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174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161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152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/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5</v>
      </c>
      <c r="C9" s="32">
        <v>1</v>
      </c>
      <c r="D9" s="32">
        <v>48</v>
      </c>
      <c r="E9" s="32"/>
      <c r="F9" s="32"/>
      <c r="G9" s="32"/>
      <c r="H9" s="133">
        <f>G9+D9</f>
        <v>48</v>
      </c>
      <c r="I9" s="134">
        <f t="shared" ref="I9:I19" si="0">IF(H9&gt;29,H9/(C9+0.1*F9)*10^(B9),"")</f>
        <v>4800000</v>
      </c>
      <c r="J9" s="135">
        <f>IF(H9&gt;29,LOG10(I9),"")</f>
        <v>6.6812412373755876</v>
      </c>
      <c r="K9" s="136">
        <f t="shared" ref="K9:K19" si="1">IF(H9&gt;29,(J9-$J$21)^2,"")</f>
        <v>2.0365858567745646E-2</v>
      </c>
    </row>
    <row r="10" spans="1:11" s="3" customFormat="1" x14ac:dyDescent="0.25">
      <c r="A10" s="137">
        <v>2</v>
      </c>
      <c r="B10" s="29">
        <v>5</v>
      </c>
      <c r="C10" s="29">
        <v>1</v>
      </c>
      <c r="D10" s="29">
        <v>42</v>
      </c>
      <c r="E10" s="29"/>
      <c r="F10" s="29"/>
      <c r="G10" s="29"/>
      <c r="H10" s="133">
        <f t="shared" ref="H10:H19" si="2">G10+D10</f>
        <v>42</v>
      </c>
      <c r="I10" s="138">
        <f t="shared" si="0"/>
        <v>4200000</v>
      </c>
      <c r="J10" s="135">
        <f t="shared" ref="J10:J19" si="3">IF(H10&gt;29,LOG10(I10),"")</f>
        <v>6.6232492903979008</v>
      </c>
      <c r="K10" s="139">
        <f t="shared" si="1"/>
        <v>7.1769790055536738E-3</v>
      </c>
    </row>
    <row r="11" spans="1:11" x14ac:dyDescent="0.25">
      <c r="A11" s="9">
        <v>3</v>
      </c>
      <c r="B11" s="29">
        <v>5</v>
      </c>
      <c r="C11" s="29">
        <v>1</v>
      </c>
      <c r="D11" s="29">
        <v>36</v>
      </c>
      <c r="E11" s="29"/>
      <c r="F11" s="29"/>
      <c r="G11" s="29"/>
      <c r="H11" s="5">
        <f>G11+D11</f>
        <v>36</v>
      </c>
      <c r="I11" s="6">
        <f>IF(H11&gt;29,H11/(C11+0.1*F11)*10^(B11),"")</f>
        <v>3600000</v>
      </c>
      <c r="J11" s="7">
        <f t="shared" si="3"/>
        <v>6.5563025007672868</v>
      </c>
      <c r="K11" s="8">
        <f>IF(H11&gt;29,(J11-$J$21)^2,"")</f>
        <v>3.1578224690782271E-4</v>
      </c>
    </row>
    <row r="12" spans="1:11" x14ac:dyDescent="0.25">
      <c r="A12" s="9">
        <v>4</v>
      </c>
      <c r="B12" s="29">
        <v>5</v>
      </c>
      <c r="C12" s="29">
        <v>1</v>
      </c>
      <c r="D12" s="29">
        <v>45</v>
      </c>
      <c r="E12" s="29"/>
      <c r="F12" s="29"/>
      <c r="G12" s="29"/>
      <c r="H12" s="10">
        <f t="shared" si="2"/>
        <v>45</v>
      </c>
      <c r="I12" s="6">
        <f t="shared" si="0"/>
        <v>4500000</v>
      </c>
      <c r="J12" s="7">
        <f t="shared" si="3"/>
        <v>6.653212513775344</v>
      </c>
      <c r="K12" s="8">
        <f t="shared" si="1"/>
        <v>1.3151565704113846E-2</v>
      </c>
    </row>
    <row r="13" spans="1:11" x14ac:dyDescent="0.25">
      <c r="A13" s="9">
        <v>5</v>
      </c>
      <c r="B13" s="29">
        <v>5</v>
      </c>
      <c r="C13" s="29">
        <v>1</v>
      </c>
      <c r="D13" s="29">
        <v>31</v>
      </c>
      <c r="E13" s="29"/>
      <c r="F13" s="29"/>
      <c r="G13" s="29"/>
      <c r="H13" s="10">
        <f t="shared" si="2"/>
        <v>31</v>
      </c>
      <c r="I13" s="6">
        <f t="shared" si="0"/>
        <v>3100000</v>
      </c>
      <c r="J13" s="7">
        <f t="shared" si="3"/>
        <v>6.4913616938342731</v>
      </c>
      <c r="K13" s="8">
        <f t="shared" si="1"/>
        <v>2.2250602154177566E-3</v>
      </c>
    </row>
    <row r="14" spans="1:11" s="3" customFormat="1" x14ac:dyDescent="0.25">
      <c r="A14" s="137">
        <v>6</v>
      </c>
      <c r="B14" s="29">
        <v>5</v>
      </c>
      <c r="C14" s="29">
        <v>1</v>
      </c>
      <c r="D14" s="29">
        <v>34</v>
      </c>
      <c r="E14" s="29"/>
      <c r="F14" s="29"/>
      <c r="G14" s="29"/>
      <c r="H14" s="140">
        <f t="shared" si="2"/>
        <v>34</v>
      </c>
      <c r="I14" s="138">
        <f t="shared" si="0"/>
        <v>3400000</v>
      </c>
      <c r="J14" s="135">
        <f t="shared" si="3"/>
        <v>6.5314789170422554</v>
      </c>
      <c r="K14" s="139">
        <f t="shared" si="1"/>
        <v>4.9749333322137782E-5</v>
      </c>
    </row>
    <row r="15" spans="1:11" s="3" customFormat="1" x14ac:dyDescent="0.25">
      <c r="A15" s="137">
        <v>7</v>
      </c>
      <c r="B15" s="29">
        <v>5</v>
      </c>
      <c r="C15" s="29">
        <v>1</v>
      </c>
      <c r="D15" s="29">
        <v>40</v>
      </c>
      <c r="E15" s="29"/>
      <c r="F15" s="29"/>
      <c r="G15" s="29"/>
      <c r="H15" s="140">
        <f t="shared" si="2"/>
        <v>40</v>
      </c>
      <c r="I15" s="138">
        <f t="shared" si="0"/>
        <v>4000000</v>
      </c>
      <c r="J15" s="135">
        <f t="shared" si="3"/>
        <v>6.6020599913279625</v>
      </c>
      <c r="K15" s="139">
        <f t="shared" si="1"/>
        <v>4.0357754718176389E-3</v>
      </c>
    </row>
    <row r="16" spans="1:11" x14ac:dyDescent="0.25">
      <c r="A16" s="9">
        <v>8</v>
      </c>
      <c r="B16" s="29">
        <v>5</v>
      </c>
      <c r="C16" s="29">
        <v>1</v>
      </c>
      <c r="D16" s="29">
        <v>46</v>
      </c>
      <c r="E16" s="29"/>
      <c r="F16" s="29"/>
      <c r="G16" s="29"/>
      <c r="H16" s="10">
        <f t="shared" si="2"/>
        <v>46</v>
      </c>
      <c r="I16" s="6">
        <f t="shared" si="0"/>
        <v>4600000</v>
      </c>
      <c r="J16" s="7">
        <f t="shared" si="3"/>
        <v>6.6627578316815743</v>
      </c>
      <c r="K16" s="8">
        <f t="shared" si="1"/>
        <v>1.5431998182089735E-2</v>
      </c>
    </row>
    <row r="17" spans="1:11" x14ac:dyDescent="0.25">
      <c r="A17" s="9">
        <v>9</v>
      </c>
      <c r="B17" s="29">
        <v>4</v>
      </c>
      <c r="C17" s="29">
        <v>2</v>
      </c>
      <c r="D17" s="29">
        <v>464</v>
      </c>
      <c r="E17" s="141"/>
      <c r="F17" s="141"/>
      <c r="G17" s="141"/>
      <c r="H17" s="10">
        <f>G17+D17</f>
        <v>464</v>
      </c>
      <c r="I17" s="6">
        <f>IF(H17&gt;29,H17/(C17+0.1*F17)*10^(B17),"")</f>
        <v>2320000</v>
      </c>
      <c r="J17" s="7">
        <f t="shared" si="3"/>
        <v>6.3654879848908994</v>
      </c>
      <c r="K17" s="8">
        <f t="shared" si="1"/>
        <v>2.9944313455313041E-2</v>
      </c>
    </row>
    <row r="18" spans="1:11" x14ac:dyDescent="0.25">
      <c r="A18" s="9">
        <v>10</v>
      </c>
      <c r="B18" s="29">
        <v>4</v>
      </c>
      <c r="C18" s="29">
        <v>2</v>
      </c>
      <c r="D18" s="29">
        <v>485</v>
      </c>
      <c r="E18" s="141"/>
      <c r="F18" s="141"/>
      <c r="G18" s="141"/>
      <c r="H18" s="10">
        <f t="shared" si="2"/>
        <v>485</v>
      </c>
      <c r="I18" s="6">
        <f t="shared" si="0"/>
        <v>2425000</v>
      </c>
      <c r="J18" s="7">
        <f t="shared" si="3"/>
        <v>6.3847117429382827</v>
      </c>
      <c r="K18" s="8">
        <f t="shared" si="1"/>
        <v>2.366074463100943E-2</v>
      </c>
    </row>
    <row r="19" spans="1:11" ht="13.8" thickBot="1" x14ac:dyDescent="0.3">
      <c r="A19" s="11">
        <v>11</v>
      </c>
      <c r="B19" s="30">
        <v>4</v>
      </c>
      <c r="C19" s="30">
        <v>2</v>
      </c>
      <c r="D19" s="30">
        <v>471</v>
      </c>
      <c r="E19" s="142"/>
      <c r="F19" s="142"/>
      <c r="G19" s="142"/>
      <c r="H19" s="12">
        <f t="shared" si="2"/>
        <v>471</v>
      </c>
      <c r="I19" s="27">
        <f t="shared" si="0"/>
        <v>2355000</v>
      </c>
      <c r="J19" s="13">
        <f t="shared" si="3"/>
        <v>6.3719909114649154</v>
      </c>
      <c r="K19" s="25">
        <f t="shared" si="1"/>
        <v>2.7736013368252526E-2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3572727.2727272729</v>
      </c>
      <c r="J21" s="17">
        <f>AVERAGE(J9:J19)</f>
        <v>6.5385322377723893</v>
      </c>
      <c r="K21" s="18">
        <f>SUM(K9:K19)</f>
        <v>0.14409384018154323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928486.30478958529</v>
      </c>
      <c r="J22" s="31">
        <f>STDEV(J9:J19)</f>
        <v>0.12003909370765144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25.988166291820452</v>
      </c>
      <c r="J23" s="19">
        <f>J22/J21*100</f>
        <v>1.835872170426853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0.12003909370765144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  <c r="I30" s="151"/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O38" sqref="O3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{4C81754A-4E98-4EE0-8F51-5C3FF0E583BD}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C81754A-4E98-4EE0-8F51-5C3FF0E583B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3.1093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194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113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193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3</v>
      </c>
      <c r="C9" s="32">
        <v>2</v>
      </c>
      <c r="D9" s="32">
        <v>287</v>
      </c>
      <c r="E9" s="32">
        <v>4</v>
      </c>
      <c r="F9" s="32">
        <v>2</v>
      </c>
      <c r="G9" s="32">
        <v>55</v>
      </c>
      <c r="H9" s="133">
        <f>G9+D9</f>
        <v>342</v>
      </c>
      <c r="I9" s="134">
        <f t="shared" ref="I9:I19" si="0">IF(H9&gt;29,H9/(C9+0.1*F9)*10^(B9),"")</f>
        <v>155454.54545454544</v>
      </c>
      <c r="J9" s="135">
        <f>IF(H9&gt;29,LOG10(I9),"")</f>
        <v>5.1916034252339287</v>
      </c>
      <c r="K9" s="136">
        <f t="shared" ref="K9:K19" si="1">IF(H9&gt;29,(J9-$J$21)^2,"")</f>
        <v>1.4156542843969211E-3</v>
      </c>
    </row>
    <row r="10" spans="1:11" s="3" customFormat="1" x14ac:dyDescent="0.25">
      <c r="A10" s="137">
        <v>2</v>
      </c>
      <c r="B10" s="29">
        <v>3</v>
      </c>
      <c r="C10" s="32">
        <v>2</v>
      </c>
      <c r="D10" s="29">
        <v>263</v>
      </c>
      <c r="E10" s="32">
        <v>4</v>
      </c>
      <c r="F10" s="32">
        <v>2</v>
      </c>
      <c r="G10" s="29">
        <v>49</v>
      </c>
      <c r="H10" s="133">
        <f t="shared" ref="H10:H19" si="2">G10+D10</f>
        <v>312</v>
      </c>
      <c r="I10" s="138">
        <f t="shared" si="0"/>
        <v>141818.18181818182</v>
      </c>
      <c r="J10" s="135">
        <f t="shared" ref="J10:J19" si="3">IF(H10&gt;29,LOG10(I10),"")</f>
        <v>5.1517319131962367</v>
      </c>
      <c r="K10" s="139">
        <f t="shared" si="1"/>
        <v>5.0460007956714143E-6</v>
      </c>
    </row>
    <row r="11" spans="1:11" x14ac:dyDescent="0.25">
      <c r="A11" s="9">
        <v>3</v>
      </c>
      <c r="B11" s="29">
        <v>3</v>
      </c>
      <c r="C11" s="32">
        <v>2</v>
      </c>
      <c r="D11" s="29">
        <v>267</v>
      </c>
      <c r="E11" s="32">
        <v>4</v>
      </c>
      <c r="F11" s="32">
        <v>2</v>
      </c>
      <c r="G11" s="29">
        <v>35</v>
      </c>
      <c r="H11" s="5">
        <f>G11+D11</f>
        <v>302</v>
      </c>
      <c r="I11" s="6">
        <f>IF(H11&gt;29,H11/(C11+0.1*F11)*10^(B11),"")</f>
        <v>137272.72727272726</v>
      </c>
      <c r="J11" s="7">
        <f t="shared" si="3"/>
        <v>5.1375842621349443</v>
      </c>
      <c r="K11" s="8">
        <f>IF(H11&gt;29,(J11-$J$21)^2,"")</f>
        <v>2.6876263201906233E-4</v>
      </c>
    </row>
    <row r="12" spans="1:11" x14ac:dyDescent="0.25">
      <c r="A12" s="9">
        <v>4</v>
      </c>
      <c r="B12" s="29">
        <v>3</v>
      </c>
      <c r="C12" s="32">
        <v>2</v>
      </c>
      <c r="D12" s="29">
        <v>308</v>
      </c>
      <c r="E12" s="32">
        <v>4</v>
      </c>
      <c r="F12" s="32">
        <v>2</v>
      </c>
      <c r="G12" s="29">
        <v>53</v>
      </c>
      <c r="H12" s="10">
        <f t="shared" si="2"/>
        <v>361</v>
      </c>
      <c r="I12" s="6">
        <f t="shared" si="0"/>
        <v>164090.90909090906</v>
      </c>
      <c r="J12" s="7">
        <f t="shared" si="3"/>
        <v>5.215084521083452</v>
      </c>
      <c r="K12" s="8">
        <f t="shared" si="1"/>
        <v>3.7339771339350829E-3</v>
      </c>
    </row>
    <row r="13" spans="1:11" x14ac:dyDescent="0.25">
      <c r="A13" s="9">
        <v>5</v>
      </c>
      <c r="B13" s="29">
        <v>3</v>
      </c>
      <c r="C13" s="32">
        <v>2</v>
      </c>
      <c r="D13" s="29">
        <v>304</v>
      </c>
      <c r="E13" s="32">
        <v>4</v>
      </c>
      <c r="F13" s="32">
        <v>2</v>
      </c>
      <c r="G13" s="29">
        <v>43</v>
      </c>
      <c r="H13" s="10">
        <f t="shared" si="2"/>
        <v>347</v>
      </c>
      <c r="I13" s="6">
        <f t="shared" si="0"/>
        <v>157727.27272727271</v>
      </c>
      <c r="J13" s="7">
        <f t="shared" si="3"/>
        <v>5.1979067939686674</v>
      </c>
      <c r="K13" s="8">
        <f t="shared" si="1"/>
        <v>1.9297175274643891E-3</v>
      </c>
    </row>
    <row r="14" spans="1:11" s="3" customFormat="1" x14ac:dyDescent="0.25">
      <c r="A14" s="137">
        <v>6</v>
      </c>
      <c r="B14" s="29">
        <v>3</v>
      </c>
      <c r="C14" s="32">
        <v>2</v>
      </c>
      <c r="D14" s="29">
        <v>235</v>
      </c>
      <c r="E14" s="32">
        <v>4</v>
      </c>
      <c r="F14" s="32">
        <v>2</v>
      </c>
      <c r="G14" s="29">
        <v>36</v>
      </c>
      <c r="H14" s="140">
        <f t="shared" si="2"/>
        <v>271</v>
      </c>
      <c r="I14" s="138">
        <f t="shared" si="0"/>
        <v>123181.81818181818</v>
      </c>
      <c r="J14" s="135">
        <f t="shared" si="3"/>
        <v>5.0905466100521997</v>
      </c>
      <c r="K14" s="139">
        <f t="shared" si="1"/>
        <v>4.0235721490228188E-3</v>
      </c>
    </row>
    <row r="15" spans="1:11" s="3" customFormat="1" x14ac:dyDescent="0.25">
      <c r="A15" s="137">
        <v>7</v>
      </c>
      <c r="B15" s="29">
        <v>3</v>
      </c>
      <c r="C15" s="32">
        <v>2</v>
      </c>
      <c r="D15" s="29">
        <v>418</v>
      </c>
      <c r="E15" s="32">
        <v>4</v>
      </c>
      <c r="F15" s="32">
        <v>2</v>
      </c>
      <c r="G15" s="29">
        <v>62</v>
      </c>
      <c r="H15" s="140">
        <f t="shared" si="2"/>
        <v>480</v>
      </c>
      <c r="I15" s="138">
        <f t="shared" si="0"/>
        <v>218181.81818181815</v>
      </c>
      <c r="J15" s="135">
        <f t="shared" si="3"/>
        <v>5.338818556553381</v>
      </c>
      <c r="K15" s="139">
        <f t="shared" si="1"/>
        <v>3.4165941250507849E-2</v>
      </c>
    </row>
    <row r="16" spans="1:11" x14ac:dyDescent="0.25">
      <c r="A16" s="9">
        <v>8</v>
      </c>
      <c r="B16" s="29">
        <v>3</v>
      </c>
      <c r="C16" s="32">
        <v>2</v>
      </c>
      <c r="D16" s="29">
        <v>237</v>
      </c>
      <c r="E16" s="32">
        <v>4</v>
      </c>
      <c r="F16" s="32">
        <v>2</v>
      </c>
      <c r="G16" s="29">
        <v>19</v>
      </c>
      <c r="H16" s="10">
        <f t="shared" si="2"/>
        <v>256</v>
      </c>
      <c r="I16" s="6">
        <f t="shared" si="0"/>
        <v>116363.63636363635</v>
      </c>
      <c r="J16" s="7">
        <f t="shared" si="3"/>
        <v>5.0658172844896434</v>
      </c>
      <c r="K16" s="8">
        <f t="shared" si="1"/>
        <v>7.7723547313836502E-3</v>
      </c>
    </row>
    <row r="17" spans="1:11" x14ac:dyDescent="0.25">
      <c r="A17" s="9">
        <v>9</v>
      </c>
      <c r="B17" s="29">
        <v>3</v>
      </c>
      <c r="C17" s="32">
        <v>2</v>
      </c>
      <c r="D17" s="29">
        <v>239</v>
      </c>
      <c r="E17" s="32">
        <v>4</v>
      </c>
      <c r="F17" s="32">
        <v>2</v>
      </c>
      <c r="G17" s="29">
        <v>29</v>
      </c>
      <c r="H17" s="10">
        <f>G17+D17</f>
        <v>268</v>
      </c>
      <c r="I17" s="6">
        <f>IF(H17&gt;29,H17/(C17+0.1*F17)*10^(B17),"")</f>
        <v>121818.18181818181</v>
      </c>
      <c r="J17" s="7">
        <f t="shared" si="3"/>
        <v>5.0857121132065828</v>
      </c>
      <c r="K17" s="8">
        <f t="shared" si="1"/>
        <v>4.6602645744750664E-3</v>
      </c>
    </row>
    <row r="18" spans="1:11" x14ac:dyDescent="0.25">
      <c r="A18" s="9">
        <v>10</v>
      </c>
      <c r="B18" s="29">
        <v>3</v>
      </c>
      <c r="C18" s="32">
        <v>2</v>
      </c>
      <c r="D18" s="29">
        <v>323</v>
      </c>
      <c r="E18" s="32">
        <v>4</v>
      </c>
      <c r="F18" s="32">
        <v>2</v>
      </c>
      <c r="G18" s="29">
        <v>30</v>
      </c>
      <c r="H18" s="10">
        <f t="shared" si="2"/>
        <v>353</v>
      </c>
      <c r="I18" s="6">
        <f t="shared" si="0"/>
        <v>160454.54545454544</v>
      </c>
      <c r="J18" s="7">
        <f t="shared" si="3"/>
        <v>5.2053520245656166</v>
      </c>
      <c r="K18" s="8">
        <f t="shared" si="1"/>
        <v>2.6392653589753716E-3</v>
      </c>
    </row>
    <row r="19" spans="1:11" ht="13.8" thickBot="1" x14ac:dyDescent="0.3">
      <c r="A19" s="11">
        <v>11</v>
      </c>
      <c r="B19" s="30">
        <v>3</v>
      </c>
      <c r="C19" s="30">
        <v>2</v>
      </c>
      <c r="D19" s="30">
        <v>206</v>
      </c>
      <c r="E19" s="30">
        <v>4</v>
      </c>
      <c r="F19" s="30">
        <v>2</v>
      </c>
      <c r="G19" s="30">
        <v>21</v>
      </c>
      <c r="H19" s="12">
        <f t="shared" si="2"/>
        <v>227</v>
      </c>
      <c r="I19" s="27">
        <f t="shared" si="0"/>
        <v>103181.81818181818</v>
      </c>
      <c r="J19" s="13">
        <f t="shared" si="3"/>
        <v>5.0136031763709168</v>
      </c>
      <c r="K19" s="25">
        <f t="shared" si="1"/>
        <v>1.9705159531614929E-2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145413.22314049586</v>
      </c>
      <c r="J21" s="17">
        <f>AVERAGE(J9:J19)</f>
        <v>5.1539782437141417</v>
      </c>
      <c r="K21" s="18">
        <f>SUM(K9:K19)</f>
        <v>8.0319715174590814E-2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31433.028994922457</v>
      </c>
      <c r="J22" s="31">
        <f>STDEV(J9:J19)</f>
        <v>8.962126710473961E-2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21.616348442089333</v>
      </c>
      <c r="J23" s="19">
        <f>J22/J21*100</f>
        <v>1.7388755417049513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8.962126710473961E-2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F4:I4"/>
    <mergeCell ref="A22:G28"/>
    <mergeCell ref="B3:D3"/>
    <mergeCell ref="B4:D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{F3B21732-6B18-4BA5-A389-9D35EC7B4954}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3B21732-6B18-4BA5-A389-9D35EC7B495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3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287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113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196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6</v>
      </c>
      <c r="C9" s="32">
        <v>2</v>
      </c>
      <c r="D9" s="32">
        <v>72</v>
      </c>
      <c r="E9" s="32"/>
      <c r="F9" s="32"/>
      <c r="G9" s="32"/>
      <c r="H9" s="133">
        <f>G9+D9</f>
        <v>72</v>
      </c>
      <c r="I9" s="134">
        <f t="shared" ref="I9:I19" si="0">IF(H9&gt;29,H9/(C9+0.1*F9)*10^(B9),"")</f>
        <v>36000000</v>
      </c>
      <c r="J9" s="135">
        <f>IF(H9&gt;29,LOG10(I9),"")</f>
        <v>7.5563025007672868</v>
      </c>
      <c r="K9" s="136">
        <f t="shared" ref="K9:K19" si="1">IF(H9&gt;29,(J9-$J$21)^2,"")</f>
        <v>4.3996858547093063E-3</v>
      </c>
    </row>
    <row r="10" spans="1:11" s="3" customFormat="1" x14ac:dyDescent="0.25">
      <c r="A10" s="137">
        <v>2</v>
      </c>
      <c r="B10" s="29">
        <v>6</v>
      </c>
      <c r="C10" s="32">
        <v>2</v>
      </c>
      <c r="D10" s="29">
        <v>80</v>
      </c>
      <c r="E10" s="32"/>
      <c r="F10" s="32"/>
      <c r="G10" s="29"/>
      <c r="H10" s="133">
        <f t="shared" ref="H10:H19" si="2">G10+D10</f>
        <v>80</v>
      </c>
      <c r="I10" s="138">
        <f t="shared" si="0"/>
        <v>40000000</v>
      </c>
      <c r="J10" s="135">
        <f t="shared" ref="J10:J19" si="3">IF(H10&gt;29,LOG10(I10),"")</f>
        <v>7.6020599913279625</v>
      </c>
      <c r="K10" s="139">
        <f t="shared" si="1"/>
        <v>4.2323340321189092E-4</v>
      </c>
    </row>
    <row r="11" spans="1:11" x14ac:dyDescent="0.25">
      <c r="A11" s="9">
        <v>3</v>
      </c>
      <c r="B11" s="29">
        <v>6</v>
      </c>
      <c r="C11" s="32">
        <v>2</v>
      </c>
      <c r="D11" s="29">
        <v>79</v>
      </c>
      <c r="E11" s="32"/>
      <c r="F11" s="32"/>
      <c r="G11" s="29"/>
      <c r="H11" s="5">
        <f>G11+D11</f>
        <v>79</v>
      </c>
      <c r="I11" s="6">
        <f>IF(H11&gt;29,H11/(C11+0.1*F11)*10^(B11),"")</f>
        <v>39500000</v>
      </c>
      <c r="J11" s="7">
        <f t="shared" si="3"/>
        <v>7.5965970956264606</v>
      </c>
      <c r="K11" s="8">
        <f>IF(H11&gt;29,(J11-$J$21)^2,"")</f>
        <v>6.7784897580526146E-4</v>
      </c>
    </row>
    <row r="12" spans="1:11" x14ac:dyDescent="0.25">
      <c r="A12" s="9">
        <v>4</v>
      </c>
      <c r="B12" s="29">
        <v>6</v>
      </c>
      <c r="C12" s="32">
        <v>2</v>
      </c>
      <c r="D12" s="29">
        <v>83</v>
      </c>
      <c r="E12" s="32"/>
      <c r="F12" s="32"/>
      <c r="G12" s="29"/>
      <c r="H12" s="10">
        <f t="shared" si="2"/>
        <v>83</v>
      </c>
      <c r="I12" s="6">
        <f t="shared" si="0"/>
        <v>41500000</v>
      </c>
      <c r="J12" s="7">
        <f t="shared" si="3"/>
        <v>7.6180480967120925</v>
      </c>
      <c r="K12" s="8">
        <f t="shared" si="1"/>
        <v>2.1017932382781834E-5</v>
      </c>
    </row>
    <row r="13" spans="1:11" x14ac:dyDescent="0.25">
      <c r="A13" s="9">
        <v>5</v>
      </c>
      <c r="B13" s="29">
        <v>6</v>
      </c>
      <c r="C13" s="32">
        <v>2</v>
      </c>
      <c r="D13" s="29">
        <v>80</v>
      </c>
      <c r="E13" s="32"/>
      <c r="F13" s="32"/>
      <c r="G13" s="29"/>
      <c r="H13" s="10">
        <f t="shared" si="2"/>
        <v>80</v>
      </c>
      <c r="I13" s="6">
        <f t="shared" si="0"/>
        <v>40000000</v>
      </c>
      <c r="J13" s="7">
        <f t="shared" si="3"/>
        <v>7.6020599913279625</v>
      </c>
      <c r="K13" s="8">
        <f t="shared" si="1"/>
        <v>4.2323340321189092E-4</v>
      </c>
    </row>
    <row r="14" spans="1:11" s="3" customFormat="1" x14ac:dyDescent="0.25">
      <c r="A14" s="137">
        <v>6</v>
      </c>
      <c r="B14" s="29">
        <v>6</v>
      </c>
      <c r="C14" s="32">
        <v>2</v>
      </c>
      <c r="D14" s="29">
        <v>88</v>
      </c>
      <c r="E14" s="32"/>
      <c r="F14" s="32"/>
      <c r="G14" s="29"/>
      <c r="H14" s="140">
        <f t="shared" si="2"/>
        <v>88</v>
      </c>
      <c r="I14" s="138">
        <f t="shared" si="0"/>
        <v>44000000</v>
      </c>
      <c r="J14" s="135">
        <f t="shared" si="3"/>
        <v>7.6434526764861879</v>
      </c>
      <c r="K14" s="139">
        <f t="shared" si="1"/>
        <v>4.3347439511149972E-4</v>
      </c>
    </row>
    <row r="15" spans="1:11" s="3" customFormat="1" x14ac:dyDescent="0.25">
      <c r="A15" s="137">
        <v>7</v>
      </c>
      <c r="B15" s="29">
        <v>6</v>
      </c>
      <c r="C15" s="32">
        <v>2</v>
      </c>
      <c r="D15" s="29">
        <v>84</v>
      </c>
      <c r="E15" s="32"/>
      <c r="F15" s="32"/>
      <c r="G15" s="29"/>
      <c r="H15" s="140">
        <f t="shared" si="2"/>
        <v>84</v>
      </c>
      <c r="I15" s="138">
        <f t="shared" si="0"/>
        <v>42000000</v>
      </c>
      <c r="J15" s="135">
        <f t="shared" si="3"/>
        <v>7.6232492903979008</v>
      </c>
      <c r="K15" s="139">
        <f t="shared" si="1"/>
        <v>3.8027180641024658E-7</v>
      </c>
    </row>
    <row r="16" spans="1:11" x14ac:dyDescent="0.25">
      <c r="A16" s="9">
        <v>8</v>
      </c>
      <c r="B16" s="29">
        <v>6</v>
      </c>
      <c r="C16" s="32">
        <v>2</v>
      </c>
      <c r="D16" s="29">
        <v>98</v>
      </c>
      <c r="E16" s="32"/>
      <c r="F16" s="32"/>
      <c r="G16" s="29"/>
      <c r="H16" s="10">
        <f t="shared" si="2"/>
        <v>98</v>
      </c>
      <c r="I16" s="6">
        <f t="shared" si="0"/>
        <v>49000000</v>
      </c>
      <c r="J16" s="7">
        <f t="shared" si="3"/>
        <v>7.6901960800285138</v>
      </c>
      <c r="K16" s="8">
        <f t="shared" si="1"/>
        <v>4.5648199725947551E-3</v>
      </c>
    </row>
    <row r="17" spans="1:11" x14ac:dyDescent="0.25">
      <c r="A17" s="9">
        <v>9</v>
      </c>
      <c r="B17" s="29">
        <v>6</v>
      </c>
      <c r="C17" s="32">
        <v>2</v>
      </c>
      <c r="D17" s="29">
        <v>74</v>
      </c>
      <c r="E17" s="32"/>
      <c r="F17" s="32"/>
      <c r="G17" s="29"/>
      <c r="H17" s="10">
        <f>G17+D17</f>
        <v>74</v>
      </c>
      <c r="I17" s="6">
        <f>IF(H17&gt;29,H17/(C17+0.1*F17)*10^(B17),"")</f>
        <v>37000000</v>
      </c>
      <c r="J17" s="7">
        <f t="shared" si="3"/>
        <v>7.568201724066995</v>
      </c>
      <c r="K17" s="8">
        <f t="shared" si="1"/>
        <v>2.9627233653312197E-3</v>
      </c>
    </row>
    <row r="18" spans="1:11" x14ac:dyDescent="0.25">
      <c r="A18" s="9">
        <v>10</v>
      </c>
      <c r="B18" s="29">
        <v>6</v>
      </c>
      <c r="C18" s="32">
        <v>2</v>
      </c>
      <c r="D18" s="29">
        <v>95</v>
      </c>
      <c r="E18" s="32"/>
      <c r="F18" s="32"/>
      <c r="G18" s="29"/>
      <c r="H18" s="10">
        <f t="shared" si="2"/>
        <v>95</v>
      </c>
      <c r="I18" s="6">
        <f t="shared" si="0"/>
        <v>47500000</v>
      </c>
      <c r="J18" s="7">
        <f t="shared" si="3"/>
        <v>7.6766936096248664</v>
      </c>
      <c r="K18" s="8">
        <f t="shared" si="1"/>
        <v>2.9225896723007981E-3</v>
      </c>
    </row>
    <row r="19" spans="1:11" ht="13.8" thickBot="1" x14ac:dyDescent="0.3">
      <c r="A19" s="11">
        <v>11</v>
      </c>
      <c r="B19" s="30">
        <v>6</v>
      </c>
      <c r="C19" s="30">
        <v>2</v>
      </c>
      <c r="D19" s="30">
        <v>94</v>
      </c>
      <c r="E19" s="30"/>
      <c r="F19" s="30"/>
      <c r="G19" s="30"/>
      <c r="H19" s="12">
        <f t="shared" si="2"/>
        <v>94</v>
      </c>
      <c r="I19" s="27">
        <f t="shared" si="0"/>
        <v>47000000</v>
      </c>
      <c r="J19" s="13">
        <f t="shared" si="3"/>
        <v>7.6720978579357171</v>
      </c>
      <c r="K19" s="25">
        <f t="shared" si="1"/>
        <v>2.4468089159158566E-3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42136363.636363633</v>
      </c>
      <c r="J21" s="17">
        <f>AVERAGE(J9:J19)</f>
        <v>7.6226326285729025</v>
      </c>
      <c r="K21" s="18">
        <f>SUM(K9:K19)</f>
        <v>1.9275816162381672E-2</v>
      </c>
    </row>
    <row r="22" spans="1:11" ht="13.8" thickBot="1" x14ac:dyDescent="0.3">
      <c r="A22" s="200" t="s">
        <v>195</v>
      </c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4284220.5188978612</v>
      </c>
      <c r="J22" s="31">
        <f>STDEV(J9:J19)</f>
        <v>4.3904232327170542E-2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10.167513637082305</v>
      </c>
      <c r="J23" s="19">
        <f>J22/J21*100</f>
        <v>0.57597203573209876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4.3904232327170542E-2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{BF4E9183-6BA7-4626-90D4-5D620F133531}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F4E9183-6BA7-4626-90D4-5D620F13353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3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287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211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196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4</v>
      </c>
      <c r="C9" s="32">
        <v>2</v>
      </c>
      <c r="D9" s="32">
        <v>30</v>
      </c>
      <c r="E9" s="32">
        <v>5</v>
      </c>
      <c r="F9" s="32">
        <v>2</v>
      </c>
      <c r="G9" s="32">
        <v>4</v>
      </c>
      <c r="H9" s="133">
        <f>G9+D9</f>
        <v>34</v>
      </c>
      <c r="I9" s="134">
        <f t="shared" ref="I9:I19" si="0">IF(H9&gt;29,H9/(C9+0.1*F9)*10^(B9),"")</f>
        <v>154545.45454545453</v>
      </c>
      <c r="J9" s="135">
        <f>IF(H9&gt;29,LOG10(I9),"")</f>
        <v>5.1890562362200487</v>
      </c>
      <c r="K9" s="136">
        <f t="shared" ref="K9:K19" si="1">IF(H9&gt;29,(J9-$J$21)^2,"")</f>
        <v>2.9068577546755851E-3</v>
      </c>
    </row>
    <row r="10" spans="1:11" s="3" customFormat="1" x14ac:dyDescent="0.25">
      <c r="A10" s="137">
        <v>2</v>
      </c>
      <c r="B10" s="29">
        <v>4</v>
      </c>
      <c r="C10" s="32">
        <v>2</v>
      </c>
      <c r="D10" s="29">
        <v>38</v>
      </c>
      <c r="E10" s="32">
        <v>5</v>
      </c>
      <c r="F10" s="32">
        <v>2</v>
      </c>
      <c r="G10" s="29">
        <v>5</v>
      </c>
      <c r="H10" s="133">
        <f t="shared" ref="H10:H19" si="2">G10+D10</f>
        <v>43</v>
      </c>
      <c r="I10" s="138">
        <f t="shared" si="0"/>
        <v>195454.54545454544</v>
      </c>
      <c r="J10" s="135">
        <f t="shared" ref="J10:J19" si="3">IF(H10&gt;29,LOG10(I10),"")</f>
        <v>5.2910457747573805</v>
      </c>
      <c r="K10" s="139">
        <f t="shared" si="1"/>
        <v>2.3111340332479884E-3</v>
      </c>
    </row>
    <row r="11" spans="1:11" x14ac:dyDescent="0.25">
      <c r="A11" s="9">
        <v>3</v>
      </c>
      <c r="B11" s="29">
        <v>4</v>
      </c>
      <c r="C11" s="32">
        <v>2</v>
      </c>
      <c r="D11" s="29">
        <v>38</v>
      </c>
      <c r="E11" s="32">
        <v>5</v>
      </c>
      <c r="F11" s="32">
        <v>2</v>
      </c>
      <c r="G11" s="29">
        <v>5</v>
      </c>
      <c r="H11" s="5">
        <f>G11+D11</f>
        <v>43</v>
      </c>
      <c r="I11" s="6">
        <f>IF(H11&gt;29,H11/(C11+0.1*F11)*10^(B11),"")</f>
        <v>195454.54545454544</v>
      </c>
      <c r="J11" s="7">
        <f t="shared" si="3"/>
        <v>5.2910457747573805</v>
      </c>
      <c r="K11" s="8">
        <f>IF(H11&gt;29,(J11-$J$21)^2,"")</f>
        <v>2.3111340332479884E-3</v>
      </c>
    </row>
    <row r="12" spans="1:11" x14ac:dyDescent="0.25">
      <c r="A12" s="9">
        <v>4</v>
      </c>
      <c r="B12" s="29">
        <v>4</v>
      </c>
      <c r="C12" s="32">
        <v>2</v>
      </c>
      <c r="D12" s="29">
        <v>36</v>
      </c>
      <c r="E12" s="32">
        <v>5</v>
      </c>
      <c r="F12" s="32">
        <v>2</v>
      </c>
      <c r="G12" s="29">
        <v>2</v>
      </c>
      <c r="H12" s="10">
        <f t="shared" si="2"/>
        <v>38</v>
      </c>
      <c r="I12" s="6">
        <f t="shared" si="0"/>
        <v>172727.27272727271</v>
      </c>
      <c r="J12" s="7">
        <f t="shared" si="3"/>
        <v>5.2373609157946035</v>
      </c>
      <c r="K12" s="8">
        <f t="shared" si="1"/>
        <v>3.1478872223857375E-5</v>
      </c>
    </row>
    <row r="13" spans="1:11" x14ac:dyDescent="0.25">
      <c r="A13" s="9">
        <v>5</v>
      </c>
      <c r="B13" s="29">
        <v>4</v>
      </c>
      <c r="C13" s="32">
        <v>2</v>
      </c>
      <c r="D13" s="29">
        <v>39</v>
      </c>
      <c r="E13" s="32">
        <v>5</v>
      </c>
      <c r="F13" s="32">
        <v>2</v>
      </c>
      <c r="G13" s="29">
        <v>3</v>
      </c>
      <c r="H13" s="10">
        <f t="shared" si="2"/>
        <v>42</v>
      </c>
      <c r="I13" s="6">
        <f t="shared" si="0"/>
        <v>190909.09090909091</v>
      </c>
      <c r="J13" s="7">
        <f t="shared" si="3"/>
        <v>5.2808266095756942</v>
      </c>
      <c r="K13" s="8">
        <f t="shared" si="1"/>
        <v>1.4330078562111526E-3</v>
      </c>
    </row>
    <row r="14" spans="1:11" s="3" customFormat="1" x14ac:dyDescent="0.25">
      <c r="A14" s="137">
        <v>6</v>
      </c>
      <c r="B14" s="29">
        <v>4</v>
      </c>
      <c r="C14" s="32">
        <v>2</v>
      </c>
      <c r="D14" s="29">
        <v>42</v>
      </c>
      <c r="E14" s="32">
        <v>5</v>
      </c>
      <c r="F14" s="32">
        <v>2</v>
      </c>
      <c r="G14" s="29">
        <v>4</v>
      </c>
      <c r="H14" s="140">
        <f t="shared" si="2"/>
        <v>46</v>
      </c>
      <c r="I14" s="138">
        <f t="shared" si="0"/>
        <v>209090.90909090906</v>
      </c>
      <c r="J14" s="135">
        <f t="shared" si="3"/>
        <v>5.3203351508593677</v>
      </c>
      <c r="K14" s="139">
        <f t="shared" si="1"/>
        <v>5.9851314807580665E-3</v>
      </c>
    </row>
    <row r="15" spans="1:11" s="3" customFormat="1" x14ac:dyDescent="0.25">
      <c r="A15" s="137">
        <v>7</v>
      </c>
      <c r="B15" s="29">
        <v>4</v>
      </c>
      <c r="C15" s="32">
        <v>2</v>
      </c>
      <c r="D15" s="29">
        <v>34</v>
      </c>
      <c r="E15" s="32">
        <v>5</v>
      </c>
      <c r="F15" s="32">
        <v>2</v>
      </c>
      <c r="G15" s="29">
        <v>1</v>
      </c>
      <c r="H15" s="140">
        <f t="shared" si="2"/>
        <v>35</v>
      </c>
      <c r="I15" s="138">
        <f t="shared" si="0"/>
        <v>159090.90909090909</v>
      </c>
      <c r="J15" s="135">
        <f t="shared" si="3"/>
        <v>5.2016453635280691</v>
      </c>
      <c r="K15" s="139">
        <f t="shared" si="1"/>
        <v>1.7078511547830313E-3</v>
      </c>
    </row>
    <row r="16" spans="1:11" x14ac:dyDescent="0.25">
      <c r="A16" s="9">
        <v>8</v>
      </c>
      <c r="B16" s="29">
        <v>4</v>
      </c>
      <c r="C16" s="32">
        <v>2</v>
      </c>
      <c r="D16" s="29">
        <v>29</v>
      </c>
      <c r="E16" s="32">
        <v>5</v>
      </c>
      <c r="F16" s="32">
        <v>2</v>
      </c>
      <c r="G16" s="29">
        <v>3</v>
      </c>
      <c r="H16" s="10">
        <f t="shared" si="2"/>
        <v>32</v>
      </c>
      <c r="I16" s="6">
        <f t="shared" si="0"/>
        <v>145454.54545454544</v>
      </c>
      <c r="J16" s="7">
        <f t="shared" si="3"/>
        <v>5.1627272974976997</v>
      </c>
      <c r="K16" s="8">
        <f t="shared" si="1"/>
        <v>6.4391351402239474E-3</v>
      </c>
    </row>
    <row r="17" spans="1:11" x14ac:dyDescent="0.25">
      <c r="A17" s="9">
        <v>9</v>
      </c>
      <c r="B17" s="29">
        <v>4</v>
      </c>
      <c r="C17" s="32">
        <v>2</v>
      </c>
      <c r="D17" s="29">
        <v>33</v>
      </c>
      <c r="E17" s="32">
        <v>5</v>
      </c>
      <c r="F17" s="32">
        <v>2</v>
      </c>
      <c r="G17" s="29">
        <v>5</v>
      </c>
      <c r="H17" s="10">
        <f>G17+D17</f>
        <v>38</v>
      </c>
      <c r="I17" s="6">
        <f>IF(H17&gt;29,H17/(C17+0.1*F17)*10^(B17),"")</f>
        <v>172727.27272727271</v>
      </c>
      <c r="J17" s="7">
        <f t="shared" si="3"/>
        <v>5.2373609157946035</v>
      </c>
      <c r="K17" s="8">
        <f t="shared" si="1"/>
        <v>3.1478872223857375E-5</v>
      </c>
    </row>
    <row r="18" spans="1:11" x14ac:dyDescent="0.25">
      <c r="A18" s="9">
        <v>10</v>
      </c>
      <c r="B18" s="29">
        <v>4</v>
      </c>
      <c r="C18" s="32">
        <v>2</v>
      </c>
      <c r="D18" s="29">
        <v>33</v>
      </c>
      <c r="E18" s="32">
        <v>5</v>
      </c>
      <c r="F18" s="32">
        <v>2</v>
      </c>
      <c r="G18" s="29">
        <v>2</v>
      </c>
      <c r="H18" s="10">
        <f t="shared" si="2"/>
        <v>35</v>
      </c>
      <c r="I18" s="6">
        <f t="shared" si="0"/>
        <v>159090.90909090909</v>
      </c>
      <c r="J18" s="7">
        <f t="shared" si="3"/>
        <v>5.2016453635280691</v>
      </c>
      <c r="K18" s="8">
        <f t="shared" si="1"/>
        <v>1.7078511547830313E-3</v>
      </c>
    </row>
    <row r="19" spans="1:11" ht="13.8" thickBot="1" x14ac:dyDescent="0.3">
      <c r="A19" s="11">
        <v>11</v>
      </c>
      <c r="B19" s="30">
        <v>4</v>
      </c>
      <c r="C19" s="30">
        <v>2</v>
      </c>
      <c r="D19" s="30">
        <v>35</v>
      </c>
      <c r="E19" s="30">
        <v>5</v>
      </c>
      <c r="F19" s="30">
        <v>2</v>
      </c>
      <c r="G19" s="30">
        <v>5</v>
      </c>
      <c r="H19" s="12">
        <f t="shared" si="2"/>
        <v>40</v>
      </c>
      <c r="I19" s="27">
        <f t="shared" si="0"/>
        <v>181818.18181818179</v>
      </c>
      <c r="J19" s="13">
        <f t="shared" si="3"/>
        <v>5.2596373105057559</v>
      </c>
      <c r="K19" s="25">
        <f t="shared" si="1"/>
        <v>2.7774859494223672E-4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176033.05785123969</v>
      </c>
      <c r="J21" s="17">
        <f>AVERAGE(J9:J19)</f>
        <v>5.2429715193471509</v>
      </c>
      <c r="K21" s="18">
        <f>SUM(K9:K19)</f>
        <v>2.5142808947320738E-2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20235.280242471348</v>
      </c>
      <c r="J22" s="31">
        <f>STDEV(J9:J19)</f>
        <v>5.0142605583795442E-2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11.495159198774802</v>
      </c>
      <c r="J23" s="19">
        <f>J22/J21*100</f>
        <v>0.95637760759835577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5.0142605583795442E-2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{2BD6ECD3-6C90-42B2-B196-38F6E08D0982}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D6ECD3-6C90-42B2-B196-38F6E08D098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6.44140625" style="38" customWidth="1"/>
    <col min="13" max="13" width="24.5546875" style="38" customWidth="1"/>
    <col min="14" max="14" width="20.55468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197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198</v>
      </c>
      <c r="C4" s="208"/>
      <c r="D4" s="209"/>
      <c r="F4" s="210" t="s">
        <v>200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201</v>
      </c>
      <c r="B9" s="49">
        <v>1</v>
      </c>
      <c r="C9" s="50">
        <v>5</v>
      </c>
      <c r="D9" s="50">
        <v>2</v>
      </c>
      <c r="E9" s="50">
        <v>34</v>
      </c>
      <c r="F9" s="50">
        <v>6</v>
      </c>
      <c r="G9" s="50">
        <v>2</v>
      </c>
      <c r="H9" s="50">
        <v>5</v>
      </c>
      <c r="I9" s="51">
        <f>H9+E9</f>
        <v>39</v>
      </c>
      <c r="J9" s="52">
        <f t="shared" ref="J9:J28" si="0">IF(I9&gt;29,I9/(D9+0.1*G9)*10^(C9),"")</f>
        <v>1772727.2727272727</v>
      </c>
      <c r="K9" s="53">
        <f>IF(I9&gt;29,LOG10(J9),"")</f>
        <v>6.2486419262042929</v>
      </c>
      <c r="L9" s="214">
        <f>IF(AND(I9&gt;29,I10&gt;29), AVERAGE(K9:K10),"")</f>
        <v>6.3847710527512707</v>
      </c>
      <c r="M9" s="216">
        <f>IF(AND(I9&gt;29,I10&gt;29),(K9-L9)^2,"")</f>
        <v>1.8531139094443077E-2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5</v>
      </c>
      <c r="D10" s="55">
        <v>2</v>
      </c>
      <c r="E10" s="55">
        <v>67</v>
      </c>
      <c r="F10" s="55">
        <v>6</v>
      </c>
      <c r="G10" s="55">
        <v>2</v>
      </c>
      <c r="H10" s="55">
        <v>6</v>
      </c>
      <c r="I10" s="56">
        <f t="shared" ref="I10:I28" si="1">H10+E10</f>
        <v>73</v>
      </c>
      <c r="J10" s="57">
        <f>IF(I10&gt;29,I10/(D10+0.1*G10)*10^(C10),"")</f>
        <v>3318181.8181818179</v>
      </c>
      <c r="K10" s="58">
        <f>IF(I10&gt;29,LOG10(J10),"")</f>
        <v>6.5209001792982493</v>
      </c>
      <c r="L10" s="215"/>
      <c r="M10" s="217"/>
      <c r="N10" s="219"/>
    </row>
    <row r="11" spans="1:14" x14ac:dyDescent="0.25">
      <c r="A11" s="220" t="s">
        <v>202</v>
      </c>
      <c r="B11" s="59">
        <v>3</v>
      </c>
      <c r="C11" s="60">
        <v>5</v>
      </c>
      <c r="D11" s="60">
        <v>2</v>
      </c>
      <c r="E11" s="60">
        <v>54</v>
      </c>
      <c r="F11" s="60">
        <v>6</v>
      </c>
      <c r="G11" s="60">
        <v>2</v>
      </c>
      <c r="H11" s="60">
        <v>8</v>
      </c>
      <c r="I11" s="61">
        <f t="shared" si="1"/>
        <v>62</v>
      </c>
      <c r="J11" s="62">
        <f t="shared" si="0"/>
        <v>2818181.8181818179</v>
      </c>
      <c r="K11" s="63">
        <f t="shared" ref="K11:K28" si="2">IF(I11&gt;29,LOG10(J11),"")</f>
        <v>6.4499690086760477</v>
      </c>
      <c r="L11" s="214">
        <f>IF(AND(I11&gt;29,I12&gt;29), AVERAGE(K11:K12),"")</f>
        <v>6.499820465272161</v>
      </c>
      <c r="M11" s="216">
        <f>IF(AND(I11&gt;29,I12&gt;29),(K11-L11)^2,"")</f>
        <v>2.4851677247541611E-3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5</v>
      </c>
      <c r="D12" s="50">
        <v>2</v>
      </c>
      <c r="E12" s="50">
        <v>73</v>
      </c>
      <c r="F12" s="50">
        <v>6</v>
      </c>
      <c r="G12" s="50">
        <v>2</v>
      </c>
      <c r="H12" s="50">
        <v>5</v>
      </c>
      <c r="I12" s="64">
        <f t="shared" si="1"/>
        <v>78</v>
      </c>
      <c r="J12" s="57">
        <f t="shared" si="0"/>
        <v>3545454.5454545454</v>
      </c>
      <c r="K12" s="58">
        <f t="shared" si="2"/>
        <v>6.5496719218682742</v>
      </c>
      <c r="L12" s="215"/>
      <c r="M12" s="217"/>
      <c r="N12" s="219"/>
    </row>
    <row r="13" spans="1:14" x14ac:dyDescent="0.25">
      <c r="A13" s="220" t="s">
        <v>203</v>
      </c>
      <c r="B13" s="59">
        <v>5</v>
      </c>
      <c r="C13" s="60">
        <v>5</v>
      </c>
      <c r="D13" s="60">
        <v>2</v>
      </c>
      <c r="E13" s="60">
        <v>104</v>
      </c>
      <c r="F13" s="60">
        <v>6</v>
      </c>
      <c r="G13" s="60">
        <v>2</v>
      </c>
      <c r="H13" s="60">
        <v>7</v>
      </c>
      <c r="I13" s="61">
        <f t="shared" si="1"/>
        <v>111</v>
      </c>
      <c r="J13" s="62">
        <f t="shared" si="0"/>
        <v>5045454.5454545449</v>
      </c>
      <c r="K13" s="63">
        <f t="shared" si="2"/>
        <v>6.702900297964451</v>
      </c>
      <c r="L13" s="214">
        <f>IF(AND(I13&gt;29,I14&gt;29), AVERAGE(K13:K14),"")</f>
        <v>6.7421646290546651</v>
      </c>
      <c r="M13" s="216">
        <f>IF(AND(I13&gt;29,I14&gt;29),(K13-L13)^2,"")</f>
        <v>1.5416876959619536E-3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5</v>
      </c>
      <c r="D14" s="55">
        <v>2</v>
      </c>
      <c r="E14" s="55">
        <v>115</v>
      </c>
      <c r="F14" s="55">
        <v>6</v>
      </c>
      <c r="G14" s="55">
        <v>2</v>
      </c>
      <c r="H14" s="55">
        <v>18</v>
      </c>
      <c r="I14" s="64">
        <f t="shared" si="1"/>
        <v>133</v>
      </c>
      <c r="J14" s="57">
        <f t="shared" si="0"/>
        <v>6045454.5454545449</v>
      </c>
      <c r="K14" s="58">
        <f t="shared" si="2"/>
        <v>6.7814289601448792</v>
      </c>
      <c r="L14" s="215"/>
      <c r="M14" s="217"/>
      <c r="N14" s="219"/>
    </row>
    <row r="15" spans="1:14" x14ac:dyDescent="0.25">
      <c r="A15" s="220" t="s">
        <v>204</v>
      </c>
      <c r="B15" s="59">
        <v>7</v>
      </c>
      <c r="C15" s="60">
        <v>5</v>
      </c>
      <c r="D15" s="60">
        <v>2</v>
      </c>
      <c r="E15" s="60">
        <v>92</v>
      </c>
      <c r="F15" s="60">
        <v>6</v>
      </c>
      <c r="G15" s="60">
        <v>2</v>
      </c>
      <c r="H15" s="60">
        <v>5</v>
      </c>
      <c r="I15" s="61">
        <f t="shared" si="1"/>
        <v>97</v>
      </c>
      <c r="J15" s="62">
        <f t="shared" si="0"/>
        <v>4409090.9090909082</v>
      </c>
      <c r="K15" s="63">
        <f t="shared" si="2"/>
        <v>6.6443490534440386</v>
      </c>
      <c r="L15" s="214">
        <f>IF(AND(I15&gt;29,I16&gt;29), AVERAGE(K15:K16),"")</f>
        <v>6.6443490534440386</v>
      </c>
      <c r="M15" s="216">
        <f>IF(AND(I15&gt;29,I16&gt;29),(K15-L15)^2,"")</f>
        <v>0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5</v>
      </c>
      <c r="D16" s="55">
        <v>2</v>
      </c>
      <c r="E16" s="55">
        <v>84</v>
      </c>
      <c r="F16" s="55">
        <v>6</v>
      </c>
      <c r="G16" s="55">
        <v>2</v>
      </c>
      <c r="H16" s="55">
        <v>13</v>
      </c>
      <c r="I16" s="64">
        <f t="shared" si="1"/>
        <v>97</v>
      </c>
      <c r="J16" s="57">
        <f t="shared" si="0"/>
        <v>4409090.9090909082</v>
      </c>
      <c r="K16" s="58">
        <f t="shared" si="2"/>
        <v>6.6443490534440386</v>
      </c>
      <c r="L16" s="215"/>
      <c r="M16" s="217"/>
      <c r="N16" s="219"/>
    </row>
    <row r="17" spans="1:14" x14ac:dyDescent="0.25">
      <c r="A17" s="220" t="s">
        <v>205</v>
      </c>
      <c r="B17" s="59">
        <v>9</v>
      </c>
      <c r="C17" s="60">
        <v>5</v>
      </c>
      <c r="D17" s="60">
        <v>2</v>
      </c>
      <c r="E17" s="60">
        <v>136</v>
      </c>
      <c r="F17" s="60">
        <v>6</v>
      </c>
      <c r="G17" s="60">
        <v>2</v>
      </c>
      <c r="H17" s="60">
        <v>16</v>
      </c>
      <c r="I17" s="61">
        <f t="shared" si="1"/>
        <v>152</v>
      </c>
      <c r="J17" s="62">
        <f t="shared" si="0"/>
        <v>6909090.9090909082</v>
      </c>
      <c r="K17" s="63">
        <f t="shared" si="2"/>
        <v>6.839420907122566</v>
      </c>
      <c r="L17" s="214">
        <f>IF(AND(I17&gt;29,I18&gt;29), AVERAGE(K17:K18),"")</f>
        <v>6.8184386563507982</v>
      </c>
      <c r="M17" s="216">
        <f>IF(AND(I17&gt;29,I18&gt;29),(K17-L17)^2,"")</f>
        <v>4.4025484744935261E-4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5</v>
      </c>
      <c r="D18" s="55">
        <v>2</v>
      </c>
      <c r="E18" s="55">
        <v>128</v>
      </c>
      <c r="F18" s="55">
        <v>6</v>
      </c>
      <c r="G18" s="55">
        <v>2</v>
      </c>
      <c r="H18" s="55">
        <v>10</v>
      </c>
      <c r="I18" s="64">
        <f t="shared" si="1"/>
        <v>138</v>
      </c>
      <c r="J18" s="57">
        <f t="shared" si="0"/>
        <v>6272727.2727272715</v>
      </c>
      <c r="K18" s="58">
        <f t="shared" si="2"/>
        <v>6.7974564055790303</v>
      </c>
      <c r="L18" s="215"/>
      <c r="M18" s="217"/>
      <c r="N18" s="219"/>
    </row>
    <row r="19" spans="1:14" x14ac:dyDescent="0.25">
      <c r="A19" s="220" t="s">
        <v>206</v>
      </c>
      <c r="B19" s="59">
        <v>11</v>
      </c>
      <c r="C19" s="60">
        <v>5</v>
      </c>
      <c r="D19" s="60">
        <v>2</v>
      </c>
      <c r="E19" s="60">
        <v>50</v>
      </c>
      <c r="F19" s="60">
        <v>6</v>
      </c>
      <c r="G19" s="60">
        <v>2</v>
      </c>
      <c r="H19" s="60">
        <v>8</v>
      </c>
      <c r="I19" s="61">
        <f t="shared" si="1"/>
        <v>58</v>
      </c>
      <c r="J19" s="62">
        <f t="shared" si="0"/>
        <v>2636363.6363636358</v>
      </c>
      <c r="K19" s="63">
        <f t="shared" si="2"/>
        <v>6.4210053127407312</v>
      </c>
      <c r="L19" s="214">
        <f>IF(AND(I19&gt;29,I20&gt;29), AVERAGE(K19:K20),"")</f>
        <v>6.4935338253985879</v>
      </c>
      <c r="M19" s="216">
        <f>IF(AND(I19&gt;29,I20&gt;29),(K19-L19)^2,"")</f>
        <v>5.260385148360888E-3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5</v>
      </c>
      <c r="D20" s="55">
        <v>2</v>
      </c>
      <c r="E20" s="55">
        <v>74</v>
      </c>
      <c r="F20" s="55">
        <v>6</v>
      </c>
      <c r="G20" s="55">
        <v>2</v>
      </c>
      <c r="H20" s="55">
        <v>7</v>
      </c>
      <c r="I20" s="64">
        <f t="shared" si="1"/>
        <v>81</v>
      </c>
      <c r="J20" s="57">
        <f t="shared" si="0"/>
        <v>3681818.1818181812</v>
      </c>
      <c r="K20" s="58">
        <f t="shared" si="2"/>
        <v>6.5660623380564438</v>
      </c>
      <c r="L20" s="215"/>
      <c r="M20" s="217"/>
      <c r="N20" s="219"/>
    </row>
    <row r="21" spans="1:14" x14ac:dyDescent="0.25">
      <c r="A21" s="220" t="s">
        <v>207</v>
      </c>
      <c r="B21" s="59">
        <v>13</v>
      </c>
      <c r="C21" s="60">
        <v>5</v>
      </c>
      <c r="D21" s="60">
        <v>2</v>
      </c>
      <c r="E21" s="60">
        <v>134</v>
      </c>
      <c r="F21" s="60">
        <v>6</v>
      </c>
      <c r="G21" s="60">
        <v>2</v>
      </c>
      <c r="H21" s="60">
        <v>15</v>
      </c>
      <c r="I21" s="61">
        <f t="shared" si="1"/>
        <v>149</v>
      </c>
      <c r="J21" s="62">
        <f t="shared" si="0"/>
        <v>6772727.2727272715</v>
      </c>
      <c r="K21" s="63">
        <f t="shared" si="2"/>
        <v>6.8307635875900674</v>
      </c>
      <c r="L21" s="214">
        <f>IF(AND(I21&gt;29,I22&gt;29), AVERAGE(K21:K22),"")</f>
        <v>6.826346881276149</v>
      </c>
      <c r="M21" s="216">
        <f>IF(AND(I21&gt;29,I22&gt;29),(K21-L21)^2,"")</f>
        <v>1.9507294663407008E-5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5</v>
      </c>
      <c r="D22" s="55">
        <v>2</v>
      </c>
      <c r="E22" s="55">
        <v>130</v>
      </c>
      <c r="F22" s="55">
        <v>6</v>
      </c>
      <c r="G22" s="55">
        <v>2</v>
      </c>
      <c r="H22" s="55">
        <v>16</v>
      </c>
      <c r="I22" s="64">
        <f t="shared" si="1"/>
        <v>146</v>
      </c>
      <c r="J22" s="57">
        <f t="shared" si="0"/>
        <v>6636363.6363636358</v>
      </c>
      <c r="K22" s="58">
        <f t="shared" si="2"/>
        <v>6.8219301749622305</v>
      </c>
      <c r="L22" s="215"/>
      <c r="M22" s="217"/>
      <c r="N22" s="219"/>
    </row>
    <row r="23" spans="1:14" x14ac:dyDescent="0.25">
      <c r="A23" s="220" t="s">
        <v>208</v>
      </c>
      <c r="B23" s="59">
        <v>15</v>
      </c>
      <c r="C23" s="60">
        <v>5</v>
      </c>
      <c r="D23" s="60">
        <v>2</v>
      </c>
      <c r="E23" s="60">
        <v>85</v>
      </c>
      <c r="F23" s="60">
        <v>6</v>
      </c>
      <c r="G23" s="60">
        <v>2</v>
      </c>
      <c r="H23" s="60">
        <v>6</v>
      </c>
      <c r="I23" s="61">
        <f t="shared" si="1"/>
        <v>91</v>
      </c>
      <c r="J23" s="62">
        <f t="shared" si="0"/>
        <v>4136363.6363636358</v>
      </c>
      <c r="K23" s="63">
        <f t="shared" si="2"/>
        <v>6.6166187114988873</v>
      </c>
      <c r="L23" s="214">
        <f>IF(AND(I23&gt;29,I24&gt;29), AVERAGE(K23:K24),"")</f>
        <v>6.6068576416476503</v>
      </c>
      <c r="M23" s="216">
        <f>IF(AND(I23&gt;29,I24&gt;29),(K23-L23)^2,"")</f>
        <v>9.5278484640726454E-5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5</v>
      </c>
      <c r="D24" s="55">
        <v>2</v>
      </c>
      <c r="E24" s="55">
        <v>78</v>
      </c>
      <c r="F24" s="55">
        <v>6</v>
      </c>
      <c r="G24" s="55">
        <v>2</v>
      </c>
      <c r="H24" s="55">
        <v>9</v>
      </c>
      <c r="I24" s="64">
        <f t="shared" si="1"/>
        <v>87</v>
      </c>
      <c r="J24" s="57">
        <f t="shared" si="0"/>
        <v>3954545.4545454541</v>
      </c>
      <c r="K24" s="58">
        <f t="shared" si="2"/>
        <v>6.5970965717964125</v>
      </c>
      <c r="L24" s="215"/>
      <c r="M24" s="217"/>
      <c r="N24" s="219"/>
    </row>
    <row r="25" spans="1:14" x14ac:dyDescent="0.25">
      <c r="A25" s="220" t="s">
        <v>209</v>
      </c>
      <c r="B25" s="59">
        <v>17</v>
      </c>
      <c r="C25" s="60">
        <v>5</v>
      </c>
      <c r="D25" s="60">
        <v>2</v>
      </c>
      <c r="E25" s="60">
        <v>44</v>
      </c>
      <c r="F25" s="60">
        <v>6</v>
      </c>
      <c r="G25" s="60">
        <v>2</v>
      </c>
      <c r="H25" s="60">
        <v>3</v>
      </c>
      <c r="I25" s="61">
        <f t="shared" si="1"/>
        <v>47</v>
      </c>
      <c r="J25" s="62">
        <f t="shared" si="0"/>
        <v>2136363.6363636362</v>
      </c>
      <c r="K25" s="63">
        <f t="shared" si="2"/>
        <v>6.3296751771135114</v>
      </c>
      <c r="L25" s="214">
        <f>IF(AND(I25&gt;29,I26&gt;29), AVERAGE(K25:K26),"")</f>
        <v>6.3827018733374743</v>
      </c>
      <c r="M25" s="216">
        <f>IF(AND(I25&gt;29,I26&gt;29),(K25-L25)^2,"")</f>
        <v>2.811830512428446E-3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2</v>
      </c>
      <c r="E26" s="55">
        <v>51</v>
      </c>
      <c r="F26" s="55">
        <v>6</v>
      </c>
      <c r="G26" s="55">
        <v>2</v>
      </c>
      <c r="H26" s="55">
        <v>9</v>
      </c>
      <c r="I26" s="64">
        <f t="shared" si="1"/>
        <v>60</v>
      </c>
      <c r="J26" s="57">
        <f t="shared" si="0"/>
        <v>2727272.7272727271</v>
      </c>
      <c r="K26" s="58">
        <f t="shared" si="2"/>
        <v>6.4357285695614372</v>
      </c>
      <c r="L26" s="215"/>
      <c r="M26" s="217"/>
      <c r="N26" s="219"/>
    </row>
    <row r="27" spans="1:14" x14ac:dyDescent="0.25">
      <c r="A27" s="220" t="s">
        <v>210</v>
      </c>
      <c r="B27" s="49">
        <v>19</v>
      </c>
      <c r="C27" s="50">
        <v>5</v>
      </c>
      <c r="D27" s="50">
        <v>2</v>
      </c>
      <c r="E27" s="50">
        <v>32</v>
      </c>
      <c r="F27" s="50">
        <v>6</v>
      </c>
      <c r="G27" s="50">
        <v>2</v>
      </c>
      <c r="H27" s="50">
        <v>4</v>
      </c>
      <c r="I27" s="51">
        <f t="shared" si="1"/>
        <v>36</v>
      </c>
      <c r="J27" s="52">
        <f t="shared" si="0"/>
        <v>1636363.6363636362</v>
      </c>
      <c r="K27" s="53">
        <f t="shared" si="2"/>
        <v>6.2138798199450811</v>
      </c>
      <c r="L27" s="224">
        <f>IF(AND(I27&gt;29,I28&gt;29), AVERAGE(K27:K28),"")</f>
        <v>6.2852135717294466</v>
      </c>
      <c r="M27" s="216">
        <f>IF(AND(I27&gt;29,I28&gt;29),(K27-L27)^2,"")</f>
        <v>5.0885041436334703E-3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5</v>
      </c>
      <c r="D28" s="66">
        <v>2</v>
      </c>
      <c r="E28" s="66">
        <v>45</v>
      </c>
      <c r="F28" s="66">
        <v>6</v>
      </c>
      <c r="G28" s="66">
        <v>2</v>
      </c>
      <c r="H28" s="66">
        <v>5</v>
      </c>
      <c r="I28" s="67">
        <f t="shared" si="1"/>
        <v>50</v>
      </c>
      <c r="J28" s="68">
        <f t="shared" si="0"/>
        <v>2272727.2727272725</v>
      </c>
      <c r="K28" s="69">
        <f t="shared" si="2"/>
        <v>6.3565473235138121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3.6273754946335481E-2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7.2547509892670961E-2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8.5174826030154568E-2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10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6.5546875" style="38" customWidth="1"/>
    <col min="13" max="13" width="24.44140625" style="38" customWidth="1"/>
    <col min="14" max="14" width="21.441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212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198</v>
      </c>
      <c r="C4" s="208"/>
      <c r="D4" s="209"/>
      <c r="F4" s="210" t="s">
        <v>213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214</v>
      </c>
      <c r="B9" s="49">
        <v>1</v>
      </c>
      <c r="C9" s="50">
        <v>6</v>
      </c>
      <c r="D9" s="50">
        <v>2</v>
      </c>
      <c r="E9" s="50">
        <v>41</v>
      </c>
      <c r="F9" s="50">
        <v>7</v>
      </c>
      <c r="G9" s="50">
        <v>1</v>
      </c>
      <c r="H9" s="50">
        <v>1</v>
      </c>
      <c r="I9" s="51">
        <f>H9+E9</f>
        <v>42</v>
      </c>
      <c r="J9" s="52">
        <f t="shared" ref="J9:J28" si="0">IF(I9&gt;29,I9/(D9+0.1*G9)*10^(C9),"")</f>
        <v>20000000</v>
      </c>
      <c r="K9" s="53">
        <f>IF(I9&gt;29,LOG10(J9),"")</f>
        <v>7.3010299956639813</v>
      </c>
      <c r="L9" s="214">
        <f>IF(AND(I9&gt;29,I10&gt;29), AVERAGE(K9:K10),"")</f>
        <v>7.3111316887081248</v>
      </c>
      <c r="M9" s="216">
        <f>IF(AND(I9&gt;29,I10&gt;29),(K9-L9)^2,"")</f>
        <v>1.0204420235809808E-4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6</v>
      </c>
      <c r="D10" s="55">
        <v>2</v>
      </c>
      <c r="E10" s="55">
        <v>43</v>
      </c>
      <c r="F10" s="55">
        <v>7</v>
      </c>
      <c r="G10" s="55">
        <v>1</v>
      </c>
      <c r="H10" s="55">
        <v>1</v>
      </c>
      <c r="I10" s="56">
        <f t="shared" ref="I10:I28" si="1">H10+E10</f>
        <v>44</v>
      </c>
      <c r="J10" s="57">
        <f>IF(I10&gt;29,I10/(D10+0.1*G10)*10^(C10),"")</f>
        <v>20952380.952380951</v>
      </c>
      <c r="K10" s="58">
        <f>IF(I10&gt;29,LOG10(J10),"")</f>
        <v>7.3212333817522683</v>
      </c>
      <c r="L10" s="215"/>
      <c r="M10" s="217"/>
      <c r="N10" s="219"/>
    </row>
    <row r="11" spans="1:14" x14ac:dyDescent="0.25">
      <c r="A11" s="220" t="s">
        <v>215</v>
      </c>
      <c r="B11" s="59">
        <v>3</v>
      </c>
      <c r="C11" s="60">
        <v>6</v>
      </c>
      <c r="D11" s="60">
        <v>2</v>
      </c>
      <c r="E11" s="60">
        <v>82</v>
      </c>
      <c r="F11" s="60">
        <v>7</v>
      </c>
      <c r="G11" s="60">
        <v>2</v>
      </c>
      <c r="H11" s="60">
        <v>12</v>
      </c>
      <c r="I11" s="61">
        <f t="shared" si="1"/>
        <v>94</v>
      </c>
      <c r="J11" s="62">
        <f t="shared" si="0"/>
        <v>42727272.727272727</v>
      </c>
      <c r="K11" s="63">
        <f t="shared" ref="K11:K28" si="2">IF(I11&gt;29,LOG10(J11),"")</f>
        <v>7.6307051727774926</v>
      </c>
      <c r="L11" s="214">
        <f>IF(AND(I11&gt;29,I12&gt;29), AVERAGE(K11:K12),"")</f>
        <v>7.606280889008584</v>
      </c>
      <c r="M11" s="216">
        <f>IF(AND(I11&gt;29,I12&gt;29),(K11-L11)^2,"")</f>
        <v>5.9654563762417186E-4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6</v>
      </c>
      <c r="D12" s="50">
        <v>2</v>
      </c>
      <c r="E12" s="50">
        <v>77</v>
      </c>
      <c r="F12" s="50">
        <v>7</v>
      </c>
      <c r="G12" s="50">
        <v>2</v>
      </c>
      <c r="H12" s="50">
        <v>7</v>
      </c>
      <c r="I12" s="64">
        <f t="shared" si="1"/>
        <v>84</v>
      </c>
      <c r="J12" s="57">
        <f t="shared" si="0"/>
        <v>38181818.18181818</v>
      </c>
      <c r="K12" s="58">
        <f t="shared" si="2"/>
        <v>7.5818566052396754</v>
      </c>
      <c r="L12" s="215"/>
      <c r="M12" s="217"/>
      <c r="N12" s="219"/>
    </row>
    <row r="13" spans="1:14" x14ac:dyDescent="0.25">
      <c r="A13" s="220" t="s">
        <v>216</v>
      </c>
      <c r="B13" s="59">
        <v>5</v>
      </c>
      <c r="C13" s="60">
        <v>7</v>
      </c>
      <c r="D13" s="60">
        <v>2</v>
      </c>
      <c r="E13" s="60">
        <v>35</v>
      </c>
      <c r="F13" s="60"/>
      <c r="G13" s="60"/>
      <c r="H13" s="60"/>
      <c r="I13" s="61">
        <f t="shared" si="1"/>
        <v>35</v>
      </c>
      <c r="J13" s="62">
        <f t="shared" si="0"/>
        <v>175000000</v>
      </c>
      <c r="K13" s="63">
        <f t="shared" si="2"/>
        <v>8.2430380486862944</v>
      </c>
      <c r="L13" s="214">
        <f>IF(AND(I13&gt;29,I14&gt;29), AVERAGE(K13:K14),"")</f>
        <v>8.2095646538709879</v>
      </c>
      <c r="M13" s="216">
        <f>IF(AND(I13&gt;29,I14&gt;29),(K13-L13)^2,"")</f>
        <v>1.1204681604613904E-3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7</v>
      </c>
      <c r="D14" s="55">
        <v>2</v>
      </c>
      <c r="E14" s="55">
        <v>30</v>
      </c>
      <c r="F14" s="55"/>
      <c r="G14" s="55"/>
      <c r="H14" s="55"/>
      <c r="I14" s="64">
        <f t="shared" si="1"/>
        <v>30</v>
      </c>
      <c r="J14" s="57">
        <f t="shared" si="0"/>
        <v>150000000</v>
      </c>
      <c r="K14" s="58">
        <f t="shared" si="2"/>
        <v>8.1760912590556813</v>
      </c>
      <c r="L14" s="215"/>
      <c r="M14" s="217"/>
      <c r="N14" s="219"/>
    </row>
    <row r="15" spans="1:14" x14ac:dyDescent="0.25">
      <c r="A15" s="220" t="s">
        <v>217</v>
      </c>
      <c r="B15" s="59">
        <v>7</v>
      </c>
      <c r="C15" s="60">
        <v>5</v>
      </c>
      <c r="D15" s="60">
        <v>2</v>
      </c>
      <c r="E15" s="60">
        <v>39</v>
      </c>
      <c r="F15" s="60">
        <v>6</v>
      </c>
      <c r="G15" s="60">
        <v>2</v>
      </c>
      <c r="H15" s="60">
        <v>3</v>
      </c>
      <c r="I15" s="61">
        <f t="shared" si="1"/>
        <v>42</v>
      </c>
      <c r="J15" s="62">
        <f t="shared" si="0"/>
        <v>1909090.9090909089</v>
      </c>
      <c r="K15" s="63">
        <f t="shared" si="2"/>
        <v>6.2808266095756942</v>
      </c>
      <c r="L15" s="214">
        <f>IF(AND(I15&gt;29,I16&gt;29), AVERAGE(K15:K16),"")</f>
        <v>6.2808266095756942</v>
      </c>
      <c r="M15" s="216">
        <f>IF(AND(I15&gt;29,I16&gt;29),(K15-L15)^2,"")</f>
        <v>0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5</v>
      </c>
      <c r="D16" s="55">
        <v>2</v>
      </c>
      <c r="E16" s="55">
        <v>39</v>
      </c>
      <c r="F16" s="55">
        <v>6</v>
      </c>
      <c r="G16" s="55">
        <v>2</v>
      </c>
      <c r="H16" s="55">
        <v>3</v>
      </c>
      <c r="I16" s="64">
        <f t="shared" si="1"/>
        <v>42</v>
      </c>
      <c r="J16" s="57">
        <f t="shared" si="0"/>
        <v>1909090.9090909089</v>
      </c>
      <c r="K16" s="58">
        <f t="shared" si="2"/>
        <v>6.2808266095756942</v>
      </c>
      <c r="L16" s="215"/>
      <c r="M16" s="217"/>
      <c r="N16" s="219"/>
    </row>
    <row r="17" spans="1:14" x14ac:dyDescent="0.25">
      <c r="A17" s="220" t="s">
        <v>218</v>
      </c>
      <c r="B17" s="59">
        <v>9</v>
      </c>
      <c r="C17" s="60">
        <v>6</v>
      </c>
      <c r="D17" s="60">
        <v>2</v>
      </c>
      <c r="E17" s="60">
        <v>119</v>
      </c>
      <c r="F17" s="60">
        <v>7</v>
      </c>
      <c r="G17" s="60">
        <v>2</v>
      </c>
      <c r="H17" s="60">
        <v>10</v>
      </c>
      <c r="I17" s="61">
        <f t="shared" si="1"/>
        <v>129</v>
      </c>
      <c r="J17" s="62">
        <f t="shared" si="0"/>
        <v>58636363.636363633</v>
      </c>
      <c r="K17" s="63">
        <f t="shared" si="2"/>
        <v>7.7681670294770431</v>
      </c>
      <c r="L17" s="214">
        <f>IF(AND(I17&gt;29,I18&gt;29), AVERAGE(K17:K18),"")</f>
        <v>7.7335685169065309</v>
      </c>
      <c r="M17" s="216">
        <f>IF(AND(I17&gt;29,I18&gt;29),(K17-L17)^2,"")</f>
        <v>1.1970570720918881E-3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6</v>
      </c>
      <c r="D18" s="55">
        <v>2</v>
      </c>
      <c r="E18" s="55">
        <v>97</v>
      </c>
      <c r="F18" s="55">
        <v>7</v>
      </c>
      <c r="G18" s="55">
        <v>2</v>
      </c>
      <c r="H18" s="55">
        <v>13</v>
      </c>
      <c r="I18" s="64">
        <f t="shared" si="1"/>
        <v>110</v>
      </c>
      <c r="J18" s="57">
        <f t="shared" si="0"/>
        <v>49999999.999999993</v>
      </c>
      <c r="K18" s="58">
        <f t="shared" si="2"/>
        <v>7.6989700043360187</v>
      </c>
      <c r="L18" s="215"/>
      <c r="M18" s="217"/>
      <c r="N18" s="219"/>
    </row>
    <row r="19" spans="1:14" x14ac:dyDescent="0.25">
      <c r="A19" s="220" t="s">
        <v>219</v>
      </c>
      <c r="B19" s="59">
        <v>11</v>
      </c>
      <c r="C19" s="60">
        <v>5</v>
      </c>
      <c r="D19" s="60">
        <v>2</v>
      </c>
      <c r="E19" s="60">
        <v>147</v>
      </c>
      <c r="F19" s="60">
        <v>6</v>
      </c>
      <c r="G19" s="60">
        <v>2</v>
      </c>
      <c r="H19" s="60">
        <v>18</v>
      </c>
      <c r="I19" s="61">
        <f t="shared" si="1"/>
        <v>165</v>
      </c>
      <c r="J19" s="62">
        <f t="shared" si="0"/>
        <v>7500000</v>
      </c>
      <c r="K19" s="63">
        <f t="shared" si="2"/>
        <v>6.8750612633917001</v>
      </c>
      <c r="L19" s="214">
        <f>IF(AND(I19&gt;29,I20&gt;29), AVERAGE(K19:K20),"")</f>
        <v>6.8439873100172779</v>
      </c>
      <c r="M19" s="216">
        <f>IF(AND(I19&gt;29,I20&gt;29),(K19-L19)^2,"")</f>
        <v>9.6559057831576496E-4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5</v>
      </c>
      <c r="D20" s="55">
        <v>2</v>
      </c>
      <c r="E20" s="55">
        <v>123</v>
      </c>
      <c r="F20" s="55">
        <v>6</v>
      </c>
      <c r="G20" s="55">
        <v>2</v>
      </c>
      <c r="H20" s="55">
        <v>20</v>
      </c>
      <c r="I20" s="64">
        <f t="shared" si="1"/>
        <v>143</v>
      </c>
      <c r="J20" s="57">
        <f t="shared" si="0"/>
        <v>6500000</v>
      </c>
      <c r="K20" s="58">
        <f t="shared" si="2"/>
        <v>6.8129133566428557</v>
      </c>
      <c r="L20" s="215"/>
      <c r="M20" s="217"/>
      <c r="N20" s="219"/>
    </row>
    <row r="21" spans="1:14" x14ac:dyDescent="0.25">
      <c r="A21" s="220" t="s">
        <v>220</v>
      </c>
      <c r="B21" s="59">
        <v>13</v>
      </c>
      <c r="C21" s="60">
        <v>4</v>
      </c>
      <c r="D21" s="60">
        <v>2</v>
      </c>
      <c r="E21" s="60">
        <v>51</v>
      </c>
      <c r="F21" s="60">
        <v>5</v>
      </c>
      <c r="G21" s="60">
        <v>2</v>
      </c>
      <c r="H21" s="60">
        <v>6</v>
      </c>
      <c r="I21" s="61">
        <f t="shared" si="1"/>
        <v>57</v>
      </c>
      <c r="J21" s="62">
        <f t="shared" si="0"/>
        <v>259090.90909090906</v>
      </c>
      <c r="K21" s="63">
        <f t="shared" si="2"/>
        <v>5.4134521748502848</v>
      </c>
      <c r="L21" s="214">
        <f>IF(AND(I21&gt;29,I22&gt;29), AVERAGE(K21:K22),"")</f>
        <v>5.4096087605171395</v>
      </c>
      <c r="M21" s="216">
        <f>IF(AND(I21&gt;29,I22&gt;29),(K21-L21)^2,"")</f>
        <v>1.4771833736227419E-5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4</v>
      </c>
      <c r="D22" s="55">
        <v>2</v>
      </c>
      <c r="E22" s="55">
        <v>51</v>
      </c>
      <c r="F22" s="55">
        <v>5</v>
      </c>
      <c r="G22" s="55">
        <v>2</v>
      </c>
      <c r="H22" s="55">
        <v>5</v>
      </c>
      <c r="I22" s="64">
        <f t="shared" si="1"/>
        <v>56</v>
      </c>
      <c r="J22" s="57">
        <f t="shared" si="0"/>
        <v>254545.45454545453</v>
      </c>
      <c r="K22" s="58">
        <f t="shared" si="2"/>
        <v>5.4057653461839941</v>
      </c>
      <c r="L22" s="215"/>
      <c r="M22" s="217"/>
      <c r="N22" s="219"/>
    </row>
    <row r="23" spans="1:14" x14ac:dyDescent="0.25">
      <c r="A23" s="220" t="s">
        <v>221</v>
      </c>
      <c r="B23" s="59">
        <v>15</v>
      </c>
      <c r="C23" s="60">
        <v>6</v>
      </c>
      <c r="D23" s="60">
        <v>2</v>
      </c>
      <c r="E23" s="60">
        <v>64</v>
      </c>
      <c r="F23" s="60">
        <v>7</v>
      </c>
      <c r="G23" s="60">
        <v>2</v>
      </c>
      <c r="H23" s="60">
        <v>6</v>
      </c>
      <c r="I23" s="61">
        <f t="shared" si="1"/>
        <v>70</v>
      </c>
      <c r="J23" s="62">
        <f t="shared" si="0"/>
        <v>31818181.818181816</v>
      </c>
      <c r="K23" s="63">
        <f t="shared" si="2"/>
        <v>7.5026753591920503</v>
      </c>
      <c r="L23" s="214">
        <f>IF(AND(I23&gt;29,I24&gt;29), AVERAGE(K23:K24),"")</f>
        <v>7.4995508845535497</v>
      </c>
      <c r="M23" s="216">
        <f>IF(AND(I23&gt;29,I24&gt;29),(K23-L23)^2,"")</f>
        <v>9.7623417666336389E-6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6</v>
      </c>
      <c r="D24" s="55">
        <v>2</v>
      </c>
      <c r="E24" s="55">
        <v>63</v>
      </c>
      <c r="F24" s="55">
        <v>7</v>
      </c>
      <c r="G24" s="55">
        <v>2</v>
      </c>
      <c r="H24" s="55">
        <v>6</v>
      </c>
      <c r="I24" s="64">
        <f t="shared" si="1"/>
        <v>69</v>
      </c>
      <c r="J24" s="57">
        <f t="shared" si="0"/>
        <v>31363636.36363636</v>
      </c>
      <c r="K24" s="58">
        <f t="shared" si="2"/>
        <v>7.496426409915049</v>
      </c>
      <c r="L24" s="215"/>
      <c r="M24" s="217"/>
      <c r="N24" s="219"/>
    </row>
    <row r="25" spans="1:14" x14ac:dyDescent="0.25">
      <c r="A25" s="220" t="s">
        <v>222</v>
      </c>
      <c r="B25" s="59">
        <v>17</v>
      </c>
      <c r="C25" s="60">
        <v>5</v>
      </c>
      <c r="D25" s="60">
        <v>2</v>
      </c>
      <c r="E25" s="60">
        <v>209</v>
      </c>
      <c r="F25" s="60">
        <v>6</v>
      </c>
      <c r="G25" s="60">
        <v>2</v>
      </c>
      <c r="H25" s="60">
        <v>22</v>
      </c>
      <c r="I25" s="61">
        <f t="shared" si="1"/>
        <v>231</v>
      </c>
      <c r="J25" s="62">
        <f t="shared" si="0"/>
        <v>10499999.999999998</v>
      </c>
      <c r="K25" s="63">
        <f t="shared" si="2"/>
        <v>7.0211892990699383</v>
      </c>
      <c r="L25" s="214">
        <f>IF(AND(I25&gt;29,I26&gt;29), AVERAGE(K25:K26),"")</f>
        <v>7.0239912378289375</v>
      </c>
      <c r="M25" s="216">
        <f>IF(AND(I25&gt;29,I26&gt;29),(K25-L25)^2,"")</f>
        <v>7.8508608091822909E-6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2</v>
      </c>
      <c r="E26" s="55">
        <v>216</v>
      </c>
      <c r="F26" s="55">
        <v>6</v>
      </c>
      <c r="G26" s="55">
        <v>2</v>
      </c>
      <c r="H26" s="55">
        <v>18</v>
      </c>
      <c r="I26" s="64">
        <f t="shared" si="1"/>
        <v>234</v>
      </c>
      <c r="J26" s="57">
        <f t="shared" si="0"/>
        <v>10636363.636363637</v>
      </c>
      <c r="K26" s="58">
        <f t="shared" si="2"/>
        <v>7.0267931765879368</v>
      </c>
      <c r="L26" s="215"/>
      <c r="M26" s="217"/>
      <c r="N26" s="219"/>
    </row>
    <row r="27" spans="1:14" x14ac:dyDescent="0.25">
      <c r="A27" s="220" t="s">
        <v>223</v>
      </c>
      <c r="B27" s="49">
        <v>19</v>
      </c>
      <c r="C27" s="50">
        <v>6</v>
      </c>
      <c r="D27" s="50">
        <v>2</v>
      </c>
      <c r="E27" s="50">
        <v>140</v>
      </c>
      <c r="F27" s="50">
        <v>7</v>
      </c>
      <c r="G27" s="50">
        <v>2</v>
      </c>
      <c r="H27" s="50">
        <v>18</v>
      </c>
      <c r="I27" s="51">
        <f t="shared" si="1"/>
        <v>158</v>
      </c>
      <c r="J27" s="52">
        <f t="shared" si="0"/>
        <v>71818181.818181813</v>
      </c>
      <c r="K27" s="53">
        <f t="shared" si="2"/>
        <v>7.8562344061322165</v>
      </c>
      <c r="L27" s="224">
        <f>IF(AND(I27&gt;29,I28&gt;29), AVERAGE(K27:K28),"")</f>
        <v>7.8808924958359086</v>
      </c>
      <c r="M27" s="216">
        <f>IF(AND(I27&gt;29,I28&gt;29),(K27-L27)^2,"")</f>
        <v>6.0802138783532628E-4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6</v>
      </c>
      <c r="D28" s="66">
        <v>2</v>
      </c>
      <c r="E28" s="66">
        <v>162</v>
      </c>
      <c r="F28" s="66">
        <v>7</v>
      </c>
      <c r="G28" s="66">
        <v>2</v>
      </c>
      <c r="H28" s="66">
        <v>15</v>
      </c>
      <c r="I28" s="67">
        <f t="shared" si="1"/>
        <v>177</v>
      </c>
      <c r="J28" s="68">
        <f t="shared" si="0"/>
        <v>80454545.454545453</v>
      </c>
      <c r="K28" s="69">
        <f t="shared" si="2"/>
        <v>7.9055505855396007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4.6221120749986829E-3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9.2442241499973658E-3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3.040431572983902E-2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9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.5546875" style="38" customWidth="1"/>
    <col min="13" max="13" width="23.6640625" style="38" customWidth="1"/>
    <col min="14" max="14" width="20.441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212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224</v>
      </c>
      <c r="C4" s="208"/>
      <c r="D4" s="209"/>
      <c r="F4" s="210" t="s">
        <v>213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214</v>
      </c>
      <c r="B9" s="49">
        <v>1</v>
      </c>
      <c r="C9" s="50">
        <v>4</v>
      </c>
      <c r="D9" s="50">
        <v>2</v>
      </c>
      <c r="E9" s="50">
        <v>255</v>
      </c>
      <c r="F9" s="50">
        <v>5</v>
      </c>
      <c r="G9" s="50">
        <v>2</v>
      </c>
      <c r="H9" s="50">
        <v>32</v>
      </c>
      <c r="I9" s="51">
        <f>H9+E9</f>
        <v>287</v>
      </c>
      <c r="J9" s="52">
        <f t="shared" ref="J9:J28" si="0">IF(I9&gt;29,I9/(D9+0.1*G9)*10^(C9),"")</f>
        <v>1304545.4545454544</v>
      </c>
      <c r="K9" s="53">
        <f>IF(I9&gt;29,LOG10(J9),"")</f>
        <v>6.1154592159117858</v>
      </c>
      <c r="L9" s="214">
        <f>IF(AND(I9&gt;29,I10&gt;29), AVERAGE(K9:K10),"")</f>
        <v>6.1030029129819923</v>
      </c>
      <c r="M9" s="216">
        <f>IF(AND(I9&gt;29,I10&gt;29),(K9-L9)^2,"")</f>
        <v>1.5515948267878199E-4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4</v>
      </c>
      <c r="D10" s="55">
        <v>2</v>
      </c>
      <c r="E10" s="55">
        <v>239</v>
      </c>
      <c r="F10" s="55">
        <v>5</v>
      </c>
      <c r="G10" s="55">
        <v>2</v>
      </c>
      <c r="H10" s="55">
        <v>32</v>
      </c>
      <c r="I10" s="56">
        <f t="shared" ref="I10:I28" si="1">H10+E10</f>
        <v>271</v>
      </c>
      <c r="J10" s="57">
        <f>IF(I10&gt;29,I10/(D10+0.1*G10)*10^(C10),"")</f>
        <v>1231818.1818181816</v>
      </c>
      <c r="K10" s="58">
        <f>IF(I10&gt;29,LOG10(J10),"")</f>
        <v>6.0905466100521997</v>
      </c>
      <c r="L10" s="215"/>
      <c r="M10" s="217"/>
      <c r="N10" s="219"/>
    </row>
    <row r="11" spans="1:14" x14ac:dyDescent="0.25">
      <c r="A11" s="220" t="s">
        <v>225</v>
      </c>
      <c r="B11" s="59">
        <v>3</v>
      </c>
      <c r="C11" s="60">
        <v>3</v>
      </c>
      <c r="D11" s="60">
        <v>2</v>
      </c>
      <c r="E11" s="60">
        <v>84</v>
      </c>
      <c r="F11" s="60">
        <v>4</v>
      </c>
      <c r="G11" s="60">
        <v>2</v>
      </c>
      <c r="H11" s="60">
        <v>11</v>
      </c>
      <c r="I11" s="61">
        <f t="shared" si="1"/>
        <v>95</v>
      </c>
      <c r="J11" s="62">
        <f t="shared" si="0"/>
        <v>43181.818181818177</v>
      </c>
      <c r="K11" s="63">
        <f t="shared" ref="K11:K28" si="2">IF(I11&gt;29,LOG10(J11),"")</f>
        <v>4.6353009244666419</v>
      </c>
      <c r="L11" s="214">
        <f>IF(AND(I11&gt;29,I12&gt;29), AVERAGE(K11:K12),"")</f>
        <v>4.669100611215546</v>
      </c>
      <c r="M11" s="216">
        <f>IF(AND(I11&gt;29,I12&gt;29),(K11-L11)^2,"")</f>
        <v>1.1424188243240436E-3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3</v>
      </c>
      <c r="D12" s="50">
        <v>2</v>
      </c>
      <c r="E12" s="50">
        <v>100</v>
      </c>
      <c r="F12" s="50">
        <v>4</v>
      </c>
      <c r="G12" s="50">
        <v>2</v>
      </c>
      <c r="H12" s="50">
        <v>11</v>
      </c>
      <c r="I12" s="64">
        <f t="shared" si="1"/>
        <v>111</v>
      </c>
      <c r="J12" s="57">
        <f t="shared" si="0"/>
        <v>50454.545454545456</v>
      </c>
      <c r="K12" s="58">
        <f t="shared" si="2"/>
        <v>4.702900297964451</v>
      </c>
      <c r="L12" s="215"/>
      <c r="M12" s="217"/>
      <c r="N12" s="219"/>
    </row>
    <row r="13" spans="1:14" x14ac:dyDescent="0.25">
      <c r="A13" s="220" t="s">
        <v>215</v>
      </c>
      <c r="B13" s="59">
        <v>5</v>
      </c>
      <c r="C13" s="60">
        <v>4</v>
      </c>
      <c r="D13" s="60">
        <v>2</v>
      </c>
      <c r="E13" s="60">
        <v>59</v>
      </c>
      <c r="F13" s="60">
        <v>5</v>
      </c>
      <c r="G13" s="60">
        <v>2</v>
      </c>
      <c r="H13" s="60">
        <v>10</v>
      </c>
      <c r="I13" s="61">
        <f t="shared" si="1"/>
        <v>69</v>
      </c>
      <c r="J13" s="62">
        <f t="shared" si="0"/>
        <v>313636.36363636359</v>
      </c>
      <c r="K13" s="63">
        <f t="shared" si="2"/>
        <v>5.496426409915049</v>
      </c>
      <c r="L13" s="214">
        <f>IF(AND(I13&gt;29,I14&gt;29), AVERAGE(K13:K14),"")</f>
        <v>5.5202472271326624</v>
      </c>
      <c r="M13" s="216">
        <f>IF(AND(I13&gt;29,I14&gt;29),(K13-L13)^2,"")</f>
        <v>5.6743133291494276E-4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4</v>
      </c>
      <c r="D14" s="55">
        <v>2</v>
      </c>
      <c r="E14" s="55">
        <v>66</v>
      </c>
      <c r="F14" s="55">
        <v>5</v>
      </c>
      <c r="G14" s="55">
        <v>2</v>
      </c>
      <c r="H14" s="55">
        <v>11</v>
      </c>
      <c r="I14" s="64">
        <f t="shared" si="1"/>
        <v>77</v>
      </c>
      <c r="J14" s="57">
        <f t="shared" si="0"/>
        <v>350000</v>
      </c>
      <c r="K14" s="58">
        <f t="shared" si="2"/>
        <v>5.5440680443502757</v>
      </c>
      <c r="L14" s="215"/>
      <c r="M14" s="217"/>
      <c r="N14" s="219"/>
    </row>
    <row r="15" spans="1:14" x14ac:dyDescent="0.25">
      <c r="A15" s="220" t="s">
        <v>226</v>
      </c>
      <c r="B15" s="59">
        <v>7</v>
      </c>
      <c r="C15" s="60">
        <v>3</v>
      </c>
      <c r="D15" s="60">
        <v>2</v>
      </c>
      <c r="E15" s="60">
        <v>36</v>
      </c>
      <c r="F15" s="60">
        <v>4</v>
      </c>
      <c r="G15" s="60">
        <v>2</v>
      </c>
      <c r="H15" s="60">
        <v>8</v>
      </c>
      <c r="I15" s="61">
        <f t="shared" si="1"/>
        <v>44</v>
      </c>
      <c r="J15" s="62">
        <f t="shared" si="0"/>
        <v>20000</v>
      </c>
      <c r="K15" s="63">
        <f t="shared" si="2"/>
        <v>4.3010299956639813</v>
      </c>
      <c r="L15" s="214">
        <f>IF(AND(I15&gt;29,I16&gt;29), AVERAGE(K15:K16),"")</f>
        <v>4.3111316887081248</v>
      </c>
      <c r="M15" s="216">
        <f>IF(AND(I15&gt;29,I16&gt;29),(K15-L15)^2,"")</f>
        <v>1.0204420235809808E-4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3</v>
      </c>
      <c r="D16" s="55">
        <v>2</v>
      </c>
      <c r="E16" s="55">
        <v>43</v>
      </c>
      <c r="F16" s="55">
        <v>4</v>
      </c>
      <c r="G16" s="55">
        <v>1</v>
      </c>
      <c r="H16" s="55">
        <v>1</v>
      </c>
      <c r="I16" s="64">
        <f t="shared" si="1"/>
        <v>44</v>
      </c>
      <c r="J16" s="57">
        <f t="shared" si="0"/>
        <v>20952.380952380954</v>
      </c>
      <c r="K16" s="58">
        <f t="shared" si="2"/>
        <v>4.3212333817522683</v>
      </c>
      <c r="L16" s="215"/>
      <c r="M16" s="217"/>
      <c r="N16" s="219"/>
    </row>
    <row r="17" spans="1:14" x14ac:dyDescent="0.25">
      <c r="A17" s="220" t="s">
        <v>216</v>
      </c>
      <c r="B17" s="59">
        <v>9</v>
      </c>
      <c r="C17" s="60">
        <v>4</v>
      </c>
      <c r="D17" s="60">
        <v>2</v>
      </c>
      <c r="E17" s="60">
        <v>67</v>
      </c>
      <c r="F17" s="60">
        <v>5</v>
      </c>
      <c r="G17" s="60">
        <v>2</v>
      </c>
      <c r="H17" s="60">
        <v>7</v>
      </c>
      <c r="I17" s="61">
        <f t="shared" si="1"/>
        <v>74</v>
      </c>
      <c r="J17" s="62">
        <f t="shared" si="0"/>
        <v>336363.63636363635</v>
      </c>
      <c r="K17" s="63">
        <f t="shared" si="2"/>
        <v>5.5268090389087696</v>
      </c>
      <c r="L17" s="214">
        <f>IF(AND(I17&gt;29,I18&gt;29), AVERAGE(K17:K18),"")</f>
        <v>5.523854609103509</v>
      </c>
      <c r="M17" s="216">
        <f>IF(AND(I17&gt;29,I18&gt;29),(K17-L17)^2,"")</f>
        <v>8.7286554742122851E-6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4</v>
      </c>
      <c r="D18" s="55">
        <v>2</v>
      </c>
      <c r="E18" s="55">
        <v>64</v>
      </c>
      <c r="F18" s="55">
        <v>5</v>
      </c>
      <c r="G18" s="55">
        <v>2</v>
      </c>
      <c r="H18" s="55">
        <v>9</v>
      </c>
      <c r="I18" s="64">
        <f t="shared" si="1"/>
        <v>73</v>
      </c>
      <c r="J18" s="57">
        <f t="shared" si="0"/>
        <v>331818.18181818182</v>
      </c>
      <c r="K18" s="58">
        <f t="shared" si="2"/>
        <v>5.5209001792982493</v>
      </c>
      <c r="L18" s="215"/>
      <c r="M18" s="217"/>
      <c r="N18" s="219"/>
    </row>
    <row r="19" spans="1:14" x14ac:dyDescent="0.25">
      <c r="A19" s="220" t="s">
        <v>218</v>
      </c>
      <c r="B19" s="59">
        <v>11</v>
      </c>
      <c r="C19" s="60">
        <v>4</v>
      </c>
      <c r="D19" s="60">
        <v>2</v>
      </c>
      <c r="E19" s="60">
        <v>46</v>
      </c>
      <c r="F19" s="60"/>
      <c r="G19" s="60"/>
      <c r="H19" s="60"/>
      <c r="I19" s="61">
        <f t="shared" si="1"/>
        <v>46</v>
      </c>
      <c r="J19" s="62">
        <f t="shared" si="0"/>
        <v>230000</v>
      </c>
      <c r="K19" s="63">
        <f t="shared" si="2"/>
        <v>5.3617278360175931</v>
      </c>
      <c r="L19" s="214">
        <f>IF(AND(I19&gt;29,I20&gt;29), AVERAGE(K19:K20),"")</f>
        <v>5.3144497822103034</v>
      </c>
      <c r="M19" s="216">
        <f>IF(AND(I19&gt;29,I20&gt;29),(K19-L19)^2,"")</f>
        <v>2.2352143718049767E-3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4</v>
      </c>
      <c r="D20" s="55">
        <v>2</v>
      </c>
      <c r="E20" s="55">
        <v>37</v>
      </c>
      <c r="F20" s="55"/>
      <c r="G20" s="55"/>
      <c r="H20" s="55"/>
      <c r="I20" s="64">
        <f t="shared" si="1"/>
        <v>37</v>
      </c>
      <c r="J20" s="57">
        <f t="shared" si="0"/>
        <v>185000</v>
      </c>
      <c r="K20" s="58">
        <f t="shared" si="2"/>
        <v>5.2671717284030137</v>
      </c>
      <c r="L20" s="215"/>
      <c r="M20" s="217"/>
      <c r="N20" s="219"/>
    </row>
    <row r="21" spans="1:14" x14ac:dyDescent="0.25">
      <c r="A21" s="220" t="s">
        <v>219</v>
      </c>
      <c r="B21" s="59">
        <v>13</v>
      </c>
      <c r="C21" s="60">
        <v>3</v>
      </c>
      <c r="D21" s="60">
        <v>2</v>
      </c>
      <c r="E21" s="60">
        <v>81</v>
      </c>
      <c r="F21" s="60">
        <v>4</v>
      </c>
      <c r="G21" s="60">
        <v>2</v>
      </c>
      <c r="H21" s="60">
        <v>8</v>
      </c>
      <c r="I21" s="61">
        <f t="shared" si="1"/>
        <v>89</v>
      </c>
      <c r="J21" s="62">
        <f t="shared" si="0"/>
        <v>40454.545454545456</v>
      </c>
      <c r="K21" s="63">
        <f t="shared" si="2"/>
        <v>4.6069673258227066</v>
      </c>
      <c r="L21" s="214">
        <f>IF(AND(I21&gt;29,I22&gt;29), AVERAGE(K21:K22),"")</f>
        <v>4.5353623094921938</v>
      </c>
      <c r="M21" s="216">
        <f>IF(AND(I21&gt;29,I22&gt;29),(K21-L21)^2,"")</f>
        <v>5.1272783636930131E-3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3</v>
      </c>
      <c r="D22" s="55">
        <v>2</v>
      </c>
      <c r="E22" s="55">
        <v>57</v>
      </c>
      <c r="F22" s="55">
        <v>4</v>
      </c>
      <c r="G22" s="55">
        <v>2</v>
      </c>
      <c r="H22" s="55">
        <v>7</v>
      </c>
      <c r="I22" s="64">
        <f t="shared" si="1"/>
        <v>64</v>
      </c>
      <c r="J22" s="57">
        <f t="shared" si="0"/>
        <v>29090.909090909088</v>
      </c>
      <c r="K22" s="58">
        <f t="shared" si="2"/>
        <v>4.4637572931616809</v>
      </c>
      <c r="L22" s="215"/>
      <c r="M22" s="217"/>
      <c r="N22" s="219"/>
    </row>
    <row r="23" spans="1:14" x14ac:dyDescent="0.25">
      <c r="A23" s="220" t="s">
        <v>227</v>
      </c>
      <c r="B23" s="59">
        <v>15</v>
      </c>
      <c r="C23" s="60">
        <v>3</v>
      </c>
      <c r="D23" s="60">
        <v>2</v>
      </c>
      <c r="E23" s="60">
        <v>40</v>
      </c>
      <c r="F23" s="60"/>
      <c r="G23" s="60"/>
      <c r="H23" s="60"/>
      <c r="I23" s="61">
        <f t="shared" si="1"/>
        <v>40</v>
      </c>
      <c r="J23" s="62">
        <f t="shared" si="0"/>
        <v>20000</v>
      </c>
      <c r="K23" s="63">
        <f t="shared" si="2"/>
        <v>4.3010299956639813</v>
      </c>
      <c r="L23" s="214">
        <f>IF(AND(I23&gt;29,I24&gt;29), AVERAGE(K23:K24),"")</f>
        <v>4.2456808469171365</v>
      </c>
      <c r="M23" s="216">
        <f>IF(AND(I23&gt;29,I24&gt;29),(K23-L23)^2,"")</f>
        <v>3.0635282670003414E-3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3</v>
      </c>
      <c r="D24" s="55">
        <v>2</v>
      </c>
      <c r="E24" s="55">
        <v>31</v>
      </c>
      <c r="F24" s="55"/>
      <c r="G24" s="55"/>
      <c r="H24" s="55"/>
      <c r="I24" s="64">
        <f t="shared" si="1"/>
        <v>31</v>
      </c>
      <c r="J24" s="57">
        <f t="shared" si="0"/>
        <v>15500</v>
      </c>
      <c r="K24" s="58">
        <f t="shared" si="2"/>
        <v>4.1903316981702918</v>
      </c>
      <c r="L24" s="215"/>
      <c r="M24" s="217"/>
      <c r="N24" s="219"/>
    </row>
    <row r="25" spans="1:14" x14ac:dyDescent="0.25">
      <c r="A25" s="220" t="s">
        <v>228</v>
      </c>
      <c r="B25" s="59">
        <v>17</v>
      </c>
      <c r="C25" s="60">
        <v>3</v>
      </c>
      <c r="D25" s="60">
        <v>2</v>
      </c>
      <c r="E25" s="60">
        <v>74</v>
      </c>
      <c r="F25" s="60">
        <v>4</v>
      </c>
      <c r="G25" s="60">
        <v>2</v>
      </c>
      <c r="H25" s="60">
        <v>9</v>
      </c>
      <c r="I25" s="61">
        <f t="shared" si="1"/>
        <v>83</v>
      </c>
      <c r="J25" s="62">
        <f t="shared" si="0"/>
        <v>37727.272727272728</v>
      </c>
      <c r="K25" s="63">
        <f t="shared" si="2"/>
        <v>4.576655411553868</v>
      </c>
      <c r="L25" s="214">
        <f>IF(AND(I25&gt;29,I26&gt;29), AVERAGE(K25:K26),"")</f>
        <v>4.5517322252313193</v>
      </c>
      <c r="M25" s="216">
        <f>IF(AND(I25&gt;29,I26&gt;29),(K25-L25)^2,"")</f>
        <v>6.2116521646848118E-4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3</v>
      </c>
      <c r="D26" s="55">
        <v>2</v>
      </c>
      <c r="E26" s="55">
        <v>69</v>
      </c>
      <c r="F26" s="55">
        <v>4</v>
      </c>
      <c r="G26" s="55">
        <v>2</v>
      </c>
      <c r="H26" s="55">
        <v>5</v>
      </c>
      <c r="I26" s="64">
        <f t="shared" si="1"/>
        <v>74</v>
      </c>
      <c r="J26" s="57">
        <f t="shared" si="0"/>
        <v>33636.363636363632</v>
      </c>
      <c r="K26" s="58">
        <f t="shared" si="2"/>
        <v>4.5268090389087696</v>
      </c>
      <c r="L26" s="215"/>
      <c r="M26" s="217"/>
      <c r="N26" s="219"/>
    </row>
    <row r="27" spans="1:14" x14ac:dyDescent="0.25">
      <c r="A27" s="220" t="s">
        <v>222</v>
      </c>
      <c r="B27" s="49">
        <v>19</v>
      </c>
      <c r="C27" s="50">
        <v>3</v>
      </c>
      <c r="D27" s="50">
        <v>2</v>
      </c>
      <c r="E27" s="50">
        <v>72</v>
      </c>
      <c r="F27" s="50">
        <v>4</v>
      </c>
      <c r="G27" s="50">
        <v>2</v>
      </c>
      <c r="H27" s="50">
        <v>13</v>
      </c>
      <c r="I27" s="51">
        <f t="shared" si="1"/>
        <v>85</v>
      </c>
      <c r="J27" s="52">
        <f t="shared" si="0"/>
        <v>38636.363636363632</v>
      </c>
      <c r="K27" s="53">
        <f t="shared" si="2"/>
        <v>4.5869962448920862</v>
      </c>
      <c r="L27" s="224">
        <f>IF(AND(I27&gt;29,I28&gt;29), AVERAGE(K27:K28),"")</f>
        <v>4.576529291474265</v>
      </c>
      <c r="M27" s="216">
        <f>IF(AND(I27&gt;29,I28&gt;29),(K27-L27)^2,"")</f>
        <v>1.0955711385083938E-4</v>
      </c>
      <c r="N27" s="227">
        <f>IF(AND(I27&gt;29,I28&gt;29),COUNT(K27:K28)-1,"")</f>
        <v>1</v>
      </c>
    </row>
    <row r="28" spans="1:14" ht="13.8" thickBot="1" x14ac:dyDescent="0.3">
      <c r="A28" s="220"/>
      <c r="B28" s="65">
        <v>20</v>
      </c>
      <c r="C28" s="66">
        <v>3</v>
      </c>
      <c r="D28" s="66">
        <v>2</v>
      </c>
      <c r="E28" s="66">
        <v>69</v>
      </c>
      <c r="F28" s="66">
        <v>4</v>
      </c>
      <c r="G28" s="66">
        <v>2</v>
      </c>
      <c r="H28" s="66">
        <v>12</v>
      </c>
      <c r="I28" s="67">
        <f t="shared" si="1"/>
        <v>81</v>
      </c>
      <c r="J28" s="68">
        <f t="shared" si="0"/>
        <v>36818.181818181816</v>
      </c>
      <c r="K28" s="69">
        <f t="shared" si="2"/>
        <v>4.5660623380564438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1.313252583056773E-2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2.626505166113546E-2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5.1249440641957703E-2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8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.44140625" style="38" customWidth="1"/>
    <col min="13" max="13" width="25.5546875" style="38" customWidth="1"/>
    <col min="14" max="14" width="20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229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198</v>
      </c>
      <c r="C4" s="208"/>
      <c r="D4" s="209"/>
      <c r="F4" s="210" t="s">
        <v>393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230</v>
      </c>
      <c r="B9" s="49">
        <v>1</v>
      </c>
      <c r="C9" s="50">
        <v>5</v>
      </c>
      <c r="D9" s="50">
        <v>2</v>
      </c>
      <c r="E9" s="50">
        <v>84</v>
      </c>
      <c r="F9" s="50">
        <v>6</v>
      </c>
      <c r="G9" s="50">
        <v>2</v>
      </c>
      <c r="H9" s="50">
        <v>8</v>
      </c>
      <c r="I9" s="51">
        <f>H9+E9</f>
        <v>92</v>
      </c>
      <c r="J9" s="52">
        <f t="shared" ref="J9:J28" si="0">IF(I9&gt;29,I9/(D9+0.1*G9)*10^(C9),"")</f>
        <v>4181818.1818181812</v>
      </c>
      <c r="K9" s="53">
        <f>IF(I9&gt;29,LOG10(J9),"")</f>
        <v>6.621365146523349</v>
      </c>
      <c r="L9" s="214">
        <f>IF(AND(I9&gt;29,I10&gt;29), AVERAGE(K9:K10),"")</f>
        <v>6.6306068493703556</v>
      </c>
      <c r="M9" s="216">
        <f>IF(AND(I9&gt;29,I10&gt;29),(K9-L9)^2,"")</f>
        <v>8.5409071512370822E-5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5</v>
      </c>
      <c r="D10" s="55">
        <v>2</v>
      </c>
      <c r="E10" s="55">
        <v>89</v>
      </c>
      <c r="F10" s="55">
        <v>6</v>
      </c>
      <c r="G10" s="55">
        <v>2</v>
      </c>
      <c r="H10" s="55">
        <v>7</v>
      </c>
      <c r="I10" s="56">
        <f t="shared" ref="I10:I28" si="1">H10+E10</f>
        <v>96</v>
      </c>
      <c r="J10" s="57">
        <f>IF(I10&gt;29,I10/(D10+0.1*G10)*10^(C10),"")</f>
        <v>4363636.3636363633</v>
      </c>
      <c r="K10" s="58">
        <f>IF(I10&gt;29,LOG10(J10),"")</f>
        <v>6.6398485522173623</v>
      </c>
      <c r="L10" s="215"/>
      <c r="M10" s="217"/>
      <c r="N10" s="219"/>
    </row>
    <row r="11" spans="1:14" x14ac:dyDescent="0.25">
      <c r="A11" s="257" t="s">
        <v>231</v>
      </c>
      <c r="B11" s="59">
        <v>3</v>
      </c>
      <c r="C11" s="60">
        <v>5</v>
      </c>
      <c r="D11" s="60">
        <v>2</v>
      </c>
      <c r="E11" s="60">
        <v>54</v>
      </c>
      <c r="F11" s="60">
        <v>6</v>
      </c>
      <c r="G11" s="60">
        <v>2</v>
      </c>
      <c r="H11" s="60">
        <v>2</v>
      </c>
      <c r="I11" s="61">
        <f t="shared" si="1"/>
        <v>56</v>
      </c>
      <c r="J11" s="62">
        <f t="shared" si="0"/>
        <v>2545454.5454545454</v>
      </c>
      <c r="K11" s="63">
        <f t="shared" ref="K11:K28" si="2">IF(I11&gt;29,LOG10(J11),"")</f>
        <v>6.4057653461839941</v>
      </c>
      <c r="L11" s="214">
        <f>IF(AND(I11&gt;29,I12&gt;29), AVERAGE(K11:K12),"")</f>
        <v>6.4542203526880222</v>
      </c>
      <c r="M11" s="216">
        <f>IF(AND(I11&gt;29,I12&gt;29),(K11-L11)^2,"")</f>
        <v>2.3478876553054075E-3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5</v>
      </c>
      <c r="D12" s="50">
        <v>2</v>
      </c>
      <c r="E12" s="50">
        <v>63</v>
      </c>
      <c r="F12" s="50">
        <v>6</v>
      </c>
      <c r="G12" s="50">
        <v>2</v>
      </c>
      <c r="H12" s="50">
        <v>7</v>
      </c>
      <c r="I12" s="64">
        <f t="shared" si="1"/>
        <v>70</v>
      </c>
      <c r="J12" s="57">
        <f t="shared" si="0"/>
        <v>3181818.1818181816</v>
      </c>
      <c r="K12" s="58">
        <f t="shared" si="2"/>
        <v>6.5026753591920503</v>
      </c>
      <c r="L12" s="215"/>
      <c r="M12" s="217"/>
      <c r="N12" s="219"/>
    </row>
    <row r="13" spans="1:14" x14ac:dyDescent="0.25">
      <c r="A13" s="220" t="s">
        <v>232</v>
      </c>
      <c r="B13" s="59">
        <v>5</v>
      </c>
      <c r="C13" s="60">
        <v>5</v>
      </c>
      <c r="D13" s="60">
        <v>2</v>
      </c>
      <c r="E13" s="60">
        <v>170</v>
      </c>
      <c r="F13" s="60">
        <v>6</v>
      </c>
      <c r="G13" s="60">
        <v>2</v>
      </c>
      <c r="H13" s="60">
        <v>11</v>
      </c>
      <c r="I13" s="61">
        <f t="shared" si="1"/>
        <v>181</v>
      </c>
      <c r="J13" s="62">
        <f t="shared" si="0"/>
        <v>8227272.7272727266</v>
      </c>
      <c r="K13" s="63">
        <f t="shared" si="2"/>
        <v>6.9152558940469779</v>
      </c>
      <c r="L13" s="214">
        <f>IF(AND(I13&gt;29,I14&gt;29), AVERAGE(K13:K14),"")</f>
        <v>6.7561762329216952</v>
      </c>
      <c r="M13" s="216">
        <f>IF(AND(I13&gt;29,I14&gt;29),(K13-L13)^2,"")</f>
        <v>2.5306338583734784E-2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5</v>
      </c>
      <c r="D14" s="55">
        <v>2</v>
      </c>
      <c r="E14" s="55">
        <v>76</v>
      </c>
      <c r="F14" s="55">
        <v>6</v>
      </c>
      <c r="G14" s="55">
        <v>2</v>
      </c>
      <c r="H14" s="55">
        <v>11</v>
      </c>
      <c r="I14" s="64">
        <f t="shared" si="1"/>
        <v>87</v>
      </c>
      <c r="J14" s="57">
        <f t="shared" si="0"/>
        <v>3954545.4545454541</v>
      </c>
      <c r="K14" s="58">
        <f t="shared" si="2"/>
        <v>6.5970965717964125</v>
      </c>
      <c r="L14" s="215"/>
      <c r="M14" s="217"/>
      <c r="N14" s="219"/>
    </row>
    <row r="15" spans="1:14" x14ac:dyDescent="0.25">
      <c r="A15" s="220" t="s">
        <v>233</v>
      </c>
      <c r="B15" s="59">
        <v>7</v>
      </c>
      <c r="C15" s="60">
        <v>4</v>
      </c>
      <c r="D15" s="60">
        <v>2</v>
      </c>
      <c r="E15" s="60">
        <v>60</v>
      </c>
      <c r="F15" s="60">
        <v>5</v>
      </c>
      <c r="G15" s="60">
        <v>2</v>
      </c>
      <c r="H15" s="60">
        <v>5</v>
      </c>
      <c r="I15" s="61">
        <f t="shared" si="1"/>
        <v>65</v>
      </c>
      <c r="J15" s="62">
        <f t="shared" si="0"/>
        <v>295454.54545454541</v>
      </c>
      <c r="K15" s="63">
        <f t="shared" si="2"/>
        <v>5.4704906758206491</v>
      </c>
      <c r="L15" s="214">
        <f>IF(AND(I15&gt;29,I16&gt;29), AVERAGE(K15:K16),"")</f>
        <v>5.4342153422463433</v>
      </c>
      <c r="M15" s="216">
        <f>IF(AND(I15&gt;29,I16&gt;29),(K15-L15)^2,"")</f>
        <v>1.3158998259271569E-3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4</v>
      </c>
      <c r="D16" s="55">
        <v>2</v>
      </c>
      <c r="E16" s="55">
        <v>50</v>
      </c>
      <c r="F16" s="55">
        <v>6</v>
      </c>
      <c r="G16" s="55">
        <v>2</v>
      </c>
      <c r="H16" s="55">
        <v>5</v>
      </c>
      <c r="I16" s="64">
        <f t="shared" si="1"/>
        <v>55</v>
      </c>
      <c r="J16" s="57">
        <f t="shared" si="0"/>
        <v>249999.99999999997</v>
      </c>
      <c r="K16" s="58">
        <f t="shared" si="2"/>
        <v>5.3979400086720375</v>
      </c>
      <c r="L16" s="215"/>
      <c r="M16" s="217"/>
      <c r="N16" s="219"/>
    </row>
    <row r="17" spans="1:14" x14ac:dyDescent="0.25">
      <c r="A17" s="220" t="s">
        <v>234</v>
      </c>
      <c r="B17" s="59">
        <v>9</v>
      </c>
      <c r="C17" s="60">
        <v>5</v>
      </c>
      <c r="D17" s="60">
        <v>2</v>
      </c>
      <c r="E17" s="60">
        <v>132</v>
      </c>
      <c r="F17" s="60">
        <v>6</v>
      </c>
      <c r="G17" s="60">
        <v>2</v>
      </c>
      <c r="H17" s="60">
        <v>19</v>
      </c>
      <c r="I17" s="61">
        <f t="shared" si="1"/>
        <v>151</v>
      </c>
      <c r="J17" s="62">
        <f t="shared" si="0"/>
        <v>6863636.3636363624</v>
      </c>
      <c r="K17" s="63">
        <f t="shared" si="2"/>
        <v>6.8365542664709631</v>
      </c>
      <c r="L17" s="214">
        <f>IF(AND(I17&gt;29,I18&gt;29), AVERAGE(K17:K18),"")</f>
        <v>6.8138352470094876</v>
      </c>
      <c r="M17" s="216">
        <f>IF(AND(I17&gt;29,I18&gt;29),(K17-L17)^2,"")</f>
        <v>5.1615384529090139E-4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5</v>
      </c>
      <c r="D18" s="55">
        <v>2</v>
      </c>
      <c r="E18" s="55">
        <v>121</v>
      </c>
      <c r="F18" s="55">
        <v>6</v>
      </c>
      <c r="G18" s="55">
        <v>2</v>
      </c>
      <c r="H18" s="55">
        <v>15</v>
      </c>
      <c r="I18" s="64">
        <f t="shared" si="1"/>
        <v>136</v>
      </c>
      <c r="J18" s="57">
        <f t="shared" si="0"/>
        <v>6181818.1818181816</v>
      </c>
      <c r="K18" s="58">
        <f t="shared" si="2"/>
        <v>6.7911162275480113</v>
      </c>
      <c r="L18" s="215"/>
      <c r="M18" s="217"/>
      <c r="N18" s="219"/>
    </row>
    <row r="19" spans="1:14" x14ac:dyDescent="0.25">
      <c r="A19" s="220" t="s">
        <v>235</v>
      </c>
      <c r="B19" s="59">
        <v>11</v>
      </c>
      <c r="C19" s="60">
        <v>5</v>
      </c>
      <c r="D19" s="60">
        <v>2</v>
      </c>
      <c r="E19" s="60">
        <v>129</v>
      </c>
      <c r="F19" s="60">
        <v>6</v>
      </c>
      <c r="G19" s="60">
        <v>2</v>
      </c>
      <c r="H19" s="60">
        <v>43</v>
      </c>
      <c r="I19" s="61">
        <f t="shared" si="1"/>
        <v>172</v>
      </c>
      <c r="J19" s="62">
        <f t="shared" si="0"/>
        <v>7818181.8181818174</v>
      </c>
      <c r="K19" s="63">
        <f t="shared" si="2"/>
        <v>6.893105766085343</v>
      </c>
      <c r="L19" s="214">
        <f>IF(AND(I19&gt;29,I20&gt;29), AVERAGE(K19:K20),"")</f>
        <v>6.9751784033720874</v>
      </c>
      <c r="M19" s="216">
        <f>IF(AND(I19&gt;29,I20&gt;29),(K19-L19)^2,"")</f>
        <v>6.7359177912015089E-3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5</v>
      </c>
      <c r="D20" s="55">
        <v>2</v>
      </c>
      <c r="E20" s="55">
        <v>238</v>
      </c>
      <c r="F20" s="55">
        <v>6</v>
      </c>
      <c r="G20" s="55">
        <v>2</v>
      </c>
      <c r="H20" s="55">
        <v>13</v>
      </c>
      <c r="I20" s="64">
        <f t="shared" si="1"/>
        <v>251</v>
      </c>
      <c r="J20" s="57">
        <f t="shared" si="0"/>
        <v>11409090.909090908</v>
      </c>
      <c r="K20" s="58">
        <f t="shared" si="2"/>
        <v>7.0572510406588318</v>
      </c>
      <c r="L20" s="215"/>
      <c r="M20" s="217"/>
      <c r="N20" s="219"/>
    </row>
    <row r="21" spans="1:14" x14ac:dyDescent="0.25">
      <c r="A21" s="220" t="s">
        <v>236</v>
      </c>
      <c r="B21" s="59">
        <v>13</v>
      </c>
      <c r="C21" s="60">
        <v>4</v>
      </c>
      <c r="D21" s="60">
        <v>2</v>
      </c>
      <c r="E21" s="60">
        <v>37</v>
      </c>
      <c r="F21" s="60">
        <v>5</v>
      </c>
      <c r="G21" s="60">
        <v>2</v>
      </c>
      <c r="H21" s="60">
        <v>2</v>
      </c>
      <c r="I21" s="61">
        <f t="shared" si="1"/>
        <v>39</v>
      </c>
      <c r="J21" s="62">
        <f t="shared" si="0"/>
        <v>177272.72727272726</v>
      </c>
      <c r="K21" s="63">
        <f t="shared" si="2"/>
        <v>5.2486419262042929</v>
      </c>
      <c r="L21" s="214">
        <f>IF(AND(I21&gt;29,I22&gt;29), AVERAGE(K21:K22),"")</f>
        <v>5.2698438504808367</v>
      </c>
      <c r="M21" s="216">
        <f>IF(AND(I21&gt;29,I22&gt;29),(K21-L21)^2,"")</f>
        <v>4.495215930282961E-4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4</v>
      </c>
      <c r="D22" s="55">
        <v>2</v>
      </c>
      <c r="E22" s="55">
        <v>35</v>
      </c>
      <c r="F22" s="55">
        <v>5</v>
      </c>
      <c r="G22" s="55">
        <v>2</v>
      </c>
      <c r="H22" s="55">
        <v>8</v>
      </c>
      <c r="I22" s="64">
        <f t="shared" si="1"/>
        <v>43</v>
      </c>
      <c r="J22" s="57">
        <f t="shared" si="0"/>
        <v>195454.54545454544</v>
      </c>
      <c r="K22" s="58">
        <f t="shared" si="2"/>
        <v>5.2910457747573805</v>
      </c>
      <c r="L22" s="215"/>
      <c r="M22" s="217"/>
      <c r="N22" s="219"/>
    </row>
    <row r="23" spans="1:14" x14ac:dyDescent="0.25">
      <c r="A23" s="220" t="s">
        <v>237</v>
      </c>
      <c r="B23" s="59">
        <v>15</v>
      </c>
      <c r="C23" s="60">
        <v>5</v>
      </c>
      <c r="D23" s="60">
        <v>2</v>
      </c>
      <c r="E23" s="60">
        <v>55</v>
      </c>
      <c r="F23" s="60">
        <v>6</v>
      </c>
      <c r="G23" s="60">
        <v>2</v>
      </c>
      <c r="H23" s="60">
        <v>2</v>
      </c>
      <c r="I23" s="61">
        <f t="shared" si="1"/>
        <v>57</v>
      </c>
      <c r="J23" s="62">
        <f t="shared" si="0"/>
        <v>2590909.0909090908</v>
      </c>
      <c r="K23" s="63">
        <f t="shared" si="2"/>
        <v>6.4134521748502848</v>
      </c>
      <c r="L23" s="214">
        <f>IF(AND(I23&gt;29,I24&gt;29), AVERAGE(K23:K24),"")</f>
        <v>6.4036181118755824</v>
      </c>
      <c r="M23" s="216">
        <f>IF(AND(I23&gt;29,I24&gt;29),(K23-L23)^2,"")</f>
        <v>9.6708794590413835E-5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5</v>
      </c>
      <c r="D24" s="55">
        <v>2</v>
      </c>
      <c r="E24" s="55">
        <v>50</v>
      </c>
      <c r="F24" s="55">
        <v>6</v>
      </c>
      <c r="G24" s="55">
        <v>1</v>
      </c>
      <c r="H24" s="55">
        <v>2</v>
      </c>
      <c r="I24" s="64">
        <f t="shared" si="1"/>
        <v>52</v>
      </c>
      <c r="J24" s="57">
        <f t="shared" si="0"/>
        <v>2476190.4761904757</v>
      </c>
      <c r="K24" s="58">
        <f t="shared" si="2"/>
        <v>6.3937840489008799</v>
      </c>
      <c r="L24" s="215"/>
      <c r="M24" s="217"/>
      <c r="N24" s="219"/>
    </row>
    <row r="25" spans="1:14" x14ac:dyDescent="0.25">
      <c r="A25" s="220" t="s">
        <v>238</v>
      </c>
      <c r="B25" s="59">
        <v>17</v>
      </c>
      <c r="C25" s="60">
        <v>6</v>
      </c>
      <c r="D25" s="60">
        <v>2</v>
      </c>
      <c r="E25" s="60">
        <v>46</v>
      </c>
      <c r="F25" s="60">
        <v>7</v>
      </c>
      <c r="G25" s="60">
        <v>2</v>
      </c>
      <c r="H25" s="60">
        <v>4</v>
      </c>
      <c r="I25" s="61">
        <f t="shared" si="1"/>
        <v>50</v>
      </c>
      <c r="J25" s="62">
        <f t="shared" si="0"/>
        <v>22727272.727272727</v>
      </c>
      <c r="K25" s="63">
        <f t="shared" si="2"/>
        <v>7.3565473235138121</v>
      </c>
      <c r="L25" s="214">
        <f>IF(AND(I25&gt;29,I26&gt;29), AVERAGE(K25:K26),"")</f>
        <v>7.3961379465376247</v>
      </c>
      <c r="M25" s="216">
        <f>IF(AND(I25&gt;29,I26&gt;29),(K25-L25)^2,"")</f>
        <v>1.5674174314136368E-3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6</v>
      </c>
      <c r="D26" s="55">
        <v>2</v>
      </c>
      <c r="E26" s="55">
        <v>48</v>
      </c>
      <c r="F26" s="55">
        <v>7</v>
      </c>
      <c r="G26" s="55">
        <v>2</v>
      </c>
      <c r="H26" s="55">
        <v>12</v>
      </c>
      <c r="I26" s="64">
        <f t="shared" si="1"/>
        <v>60</v>
      </c>
      <c r="J26" s="57">
        <f t="shared" si="0"/>
        <v>27272727.27272727</v>
      </c>
      <c r="K26" s="58">
        <f t="shared" si="2"/>
        <v>7.4357285695614372</v>
      </c>
      <c r="L26" s="215"/>
      <c r="M26" s="217"/>
      <c r="N26" s="219"/>
    </row>
    <row r="27" spans="1:14" x14ac:dyDescent="0.25">
      <c r="A27" s="220" t="s">
        <v>239</v>
      </c>
      <c r="B27" s="49">
        <v>19</v>
      </c>
      <c r="C27" s="50">
        <v>5</v>
      </c>
      <c r="D27" s="50">
        <v>2</v>
      </c>
      <c r="E27" s="50">
        <v>123</v>
      </c>
      <c r="F27" s="50">
        <v>6</v>
      </c>
      <c r="G27" s="50">
        <v>2</v>
      </c>
      <c r="H27" s="50">
        <v>12</v>
      </c>
      <c r="I27" s="51">
        <f t="shared" si="1"/>
        <v>135</v>
      </c>
      <c r="J27" s="52">
        <f t="shared" si="0"/>
        <v>6136363.6363636358</v>
      </c>
      <c r="K27" s="53">
        <f t="shared" si="2"/>
        <v>6.7879110876727999</v>
      </c>
      <c r="L27" s="224">
        <f>IF(AND(I27&gt;29,I28&gt;29), AVERAGE(K27:K28),"")</f>
        <v>6.7780390585749215</v>
      </c>
      <c r="M27" s="216">
        <f>IF(AND(I27&gt;29,I28&gt;29),(K27-L27)^2,"")</f>
        <v>9.7456958509358442E-5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5</v>
      </c>
      <c r="D28" s="66">
        <v>2</v>
      </c>
      <c r="E28" s="66">
        <v>112</v>
      </c>
      <c r="F28" s="66">
        <v>6</v>
      </c>
      <c r="G28" s="66">
        <v>2</v>
      </c>
      <c r="H28" s="66">
        <v>17</v>
      </c>
      <c r="I28" s="67">
        <f t="shared" si="1"/>
        <v>129</v>
      </c>
      <c r="J28" s="68">
        <f t="shared" si="0"/>
        <v>5863636.3636363633</v>
      </c>
      <c r="K28" s="69">
        <f t="shared" si="2"/>
        <v>6.7681670294770431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3.8518711550513833E-2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7.7037423101027666E-2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8.7770965074463927E-2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7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4.44140625" style="38" customWidth="1"/>
    <col min="13" max="13" width="23.6640625" style="38" customWidth="1"/>
    <col min="14" max="14" width="19.886718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229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240</v>
      </c>
      <c r="C4" s="208"/>
      <c r="D4" s="209"/>
      <c r="F4" s="210" t="s">
        <v>393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230</v>
      </c>
      <c r="B9" s="49">
        <v>1</v>
      </c>
      <c r="C9" s="50">
        <v>2</v>
      </c>
      <c r="D9" s="50">
        <v>2</v>
      </c>
      <c r="E9" s="50">
        <v>36</v>
      </c>
      <c r="F9" s="50">
        <v>3</v>
      </c>
      <c r="G9" s="50">
        <v>2</v>
      </c>
      <c r="H9" s="50">
        <v>12</v>
      </c>
      <c r="I9" s="51">
        <f>H9+E9</f>
        <v>48</v>
      </c>
      <c r="J9" s="52">
        <f t="shared" ref="J9:J28" si="0">IF(I9&gt;29,I9/(D9+0.1*G9)*10^(C9),"")</f>
        <v>2181.8181818181815</v>
      </c>
      <c r="K9" s="53">
        <f>IF(I9&gt;29,LOG10(J9),"")</f>
        <v>3.338818556553381</v>
      </c>
      <c r="L9" s="214">
        <f>IF(AND(I9&gt;29,I10&gt;29), AVERAGE(K9:K10),"")</f>
        <v>3.3342468668334462</v>
      </c>
      <c r="M9" s="216">
        <f>IF(AND(I9&gt;29,I10&gt;29),(K9-L9)^2,"")</f>
        <v>2.0900346895357749E-5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2</v>
      </c>
      <c r="D10" s="55">
        <v>2</v>
      </c>
      <c r="E10" s="55">
        <v>42</v>
      </c>
      <c r="F10" s="55">
        <v>3</v>
      </c>
      <c r="G10" s="55">
        <v>2</v>
      </c>
      <c r="H10" s="55">
        <v>5</v>
      </c>
      <c r="I10" s="56">
        <f t="shared" ref="I10:I28" si="1">H10+E10</f>
        <v>47</v>
      </c>
      <c r="J10" s="57">
        <f>IF(I10&gt;29,I10/(D10+0.1*G10)*10^(C10),"")</f>
        <v>2136.3636363636365</v>
      </c>
      <c r="K10" s="58">
        <f>IF(I10&gt;29,LOG10(J10),"")</f>
        <v>3.3296751771135114</v>
      </c>
      <c r="L10" s="215"/>
      <c r="M10" s="217"/>
      <c r="N10" s="219"/>
    </row>
    <row r="11" spans="1:14" x14ac:dyDescent="0.25">
      <c r="A11" s="257" t="s">
        <v>231</v>
      </c>
      <c r="B11" s="59">
        <v>3</v>
      </c>
      <c r="C11" s="60">
        <v>3</v>
      </c>
      <c r="D11" s="60">
        <v>2</v>
      </c>
      <c r="E11" s="60">
        <v>171</v>
      </c>
      <c r="F11" s="60">
        <v>4</v>
      </c>
      <c r="G11" s="60">
        <v>1</v>
      </c>
      <c r="H11" s="60">
        <v>4</v>
      </c>
      <c r="I11" s="61">
        <f t="shared" si="1"/>
        <v>175</v>
      </c>
      <c r="J11" s="62">
        <f t="shared" si="0"/>
        <v>83333.333333333328</v>
      </c>
      <c r="K11" s="63">
        <f t="shared" ref="K11:K28" si="2">IF(I11&gt;29,LOG10(J11),"")</f>
        <v>4.9208187539523749</v>
      </c>
      <c r="L11" s="214">
        <f>IF(AND(I11&gt;29,I12&gt;29), AVERAGE(K11:K12),"")</f>
        <v>4.7825839036982067</v>
      </c>
      <c r="M11" s="216">
        <f>IF(AND(I11&gt;29,I12&gt;29),(K11-L11)^2,"")</f>
        <v>1.9108873824792292E-2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3</v>
      </c>
      <c r="D12" s="50">
        <v>2</v>
      </c>
      <c r="E12" s="50">
        <v>83</v>
      </c>
      <c r="F12" s="50">
        <v>4</v>
      </c>
      <c r="G12" s="50">
        <v>2</v>
      </c>
      <c r="H12" s="50">
        <v>14</v>
      </c>
      <c r="I12" s="64">
        <f t="shared" si="1"/>
        <v>97</v>
      </c>
      <c r="J12" s="57">
        <f t="shared" si="0"/>
        <v>44090.909090909088</v>
      </c>
      <c r="K12" s="58">
        <f t="shared" si="2"/>
        <v>4.6443490534440386</v>
      </c>
      <c r="L12" s="215"/>
      <c r="M12" s="217"/>
      <c r="N12" s="219"/>
    </row>
    <row r="13" spans="1:14" x14ac:dyDescent="0.25">
      <c r="A13" s="220" t="s">
        <v>232</v>
      </c>
      <c r="B13" s="59">
        <v>5</v>
      </c>
      <c r="C13" s="60">
        <v>3</v>
      </c>
      <c r="D13" s="60">
        <v>2</v>
      </c>
      <c r="E13" s="60">
        <v>111</v>
      </c>
      <c r="F13" s="60">
        <v>4</v>
      </c>
      <c r="G13" s="60">
        <v>2</v>
      </c>
      <c r="H13" s="60">
        <v>16</v>
      </c>
      <c r="I13" s="61">
        <f t="shared" si="1"/>
        <v>127</v>
      </c>
      <c r="J13" s="62">
        <f t="shared" si="0"/>
        <v>57727.272727272721</v>
      </c>
      <c r="K13" s="63">
        <f t="shared" si="2"/>
        <v>4.7613810401337506</v>
      </c>
      <c r="L13" s="214">
        <f>IF(AND(I13&gt;29,I14&gt;29), AVERAGE(K13:K14),"")</f>
        <v>4.6767284052775562</v>
      </c>
      <c r="M13" s="216">
        <f>IF(AND(I13&gt;29,I14&gt;29),(K13-L13)^2,"")</f>
        <v>7.1660685880961883E-3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3</v>
      </c>
      <c r="D14" s="55">
        <v>2</v>
      </c>
      <c r="E14" s="55">
        <v>81</v>
      </c>
      <c r="F14" s="55">
        <v>4</v>
      </c>
      <c r="G14" s="55">
        <v>2</v>
      </c>
      <c r="H14" s="55">
        <v>5</v>
      </c>
      <c r="I14" s="64">
        <f t="shared" si="1"/>
        <v>86</v>
      </c>
      <c r="J14" s="57">
        <f t="shared" si="0"/>
        <v>39090.909090909088</v>
      </c>
      <c r="K14" s="58">
        <f t="shared" si="2"/>
        <v>4.5920757704213617</v>
      </c>
      <c r="L14" s="215"/>
      <c r="M14" s="217"/>
      <c r="N14" s="219"/>
    </row>
    <row r="15" spans="1:14" x14ac:dyDescent="0.25">
      <c r="A15" s="220" t="s">
        <v>233</v>
      </c>
      <c r="B15" s="59">
        <v>7</v>
      </c>
      <c r="C15" s="60">
        <v>2</v>
      </c>
      <c r="D15" s="60">
        <v>2</v>
      </c>
      <c r="E15" s="60">
        <v>28</v>
      </c>
      <c r="F15" s="60">
        <v>3</v>
      </c>
      <c r="G15" s="60">
        <v>1</v>
      </c>
      <c r="H15" s="60">
        <v>4</v>
      </c>
      <c r="I15" s="61">
        <f t="shared" si="1"/>
        <v>32</v>
      </c>
      <c r="J15" s="62">
        <f t="shared" si="0"/>
        <v>1523.8095238095236</v>
      </c>
      <c r="K15" s="63">
        <f t="shared" si="2"/>
        <v>3.1829306835859867</v>
      </c>
      <c r="L15" s="214">
        <f>IF(AND(I15&gt;29,I16&gt;29), AVERAGE(K15:K16),"")</f>
        <v>3.1922880235570279</v>
      </c>
      <c r="M15" s="216">
        <f>IF(AND(I15&gt;29,I16&gt;29),(K15-L15)^2,"")</f>
        <v>8.7559811333644508E-5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2</v>
      </c>
      <c r="D16" s="55">
        <v>2</v>
      </c>
      <c r="E16" s="55">
        <v>30</v>
      </c>
      <c r="F16" s="55">
        <v>3</v>
      </c>
      <c r="G16" s="55">
        <v>2</v>
      </c>
      <c r="H16" s="55">
        <v>5</v>
      </c>
      <c r="I16" s="64">
        <f t="shared" si="1"/>
        <v>35</v>
      </c>
      <c r="J16" s="57">
        <f t="shared" si="0"/>
        <v>1590.9090909090908</v>
      </c>
      <c r="K16" s="58">
        <f t="shared" si="2"/>
        <v>3.2016453635280695</v>
      </c>
      <c r="L16" s="215"/>
      <c r="M16" s="217"/>
      <c r="N16" s="219"/>
    </row>
    <row r="17" spans="1:14" x14ac:dyDescent="0.25">
      <c r="A17" s="220" t="s">
        <v>234</v>
      </c>
      <c r="B17" s="59">
        <v>9</v>
      </c>
      <c r="C17" s="60">
        <v>2</v>
      </c>
      <c r="D17" s="60">
        <v>2</v>
      </c>
      <c r="E17" s="60">
        <v>132</v>
      </c>
      <c r="F17" s="60">
        <v>3</v>
      </c>
      <c r="G17" s="60">
        <v>2</v>
      </c>
      <c r="H17" s="60">
        <v>15</v>
      </c>
      <c r="I17" s="61">
        <f t="shared" si="1"/>
        <v>147</v>
      </c>
      <c r="J17" s="62">
        <f t="shared" si="0"/>
        <v>6681.8181818181811</v>
      </c>
      <c r="K17" s="63">
        <f t="shared" si="2"/>
        <v>3.8248946539259698</v>
      </c>
      <c r="L17" s="214">
        <f>IF(AND(I17&gt;29,I18&gt;29), AVERAGE(K17:K18),"")</f>
        <v>3.7844159018892558</v>
      </c>
      <c r="M17" s="216">
        <f>IF(AND(I17&gt;29,I18&gt;29),(K17-L17)^2,"")</f>
        <v>1.6385293664497799E-3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2</v>
      </c>
      <c r="D18" s="55">
        <v>2</v>
      </c>
      <c r="E18" s="55">
        <v>105</v>
      </c>
      <c r="F18" s="55">
        <v>3</v>
      </c>
      <c r="G18" s="55">
        <v>2</v>
      </c>
      <c r="H18" s="55">
        <v>17</v>
      </c>
      <c r="I18" s="64">
        <f t="shared" si="1"/>
        <v>122</v>
      </c>
      <c r="J18" s="57">
        <f t="shared" si="0"/>
        <v>5545.454545454545</v>
      </c>
      <c r="K18" s="58">
        <f t="shared" si="2"/>
        <v>3.7439371498525418</v>
      </c>
      <c r="L18" s="215"/>
      <c r="M18" s="217"/>
      <c r="N18" s="219"/>
    </row>
    <row r="19" spans="1:14" x14ac:dyDescent="0.25">
      <c r="A19" s="220" t="s">
        <v>241</v>
      </c>
      <c r="B19" s="59">
        <v>11</v>
      </c>
      <c r="C19" s="60">
        <v>4</v>
      </c>
      <c r="D19" s="60">
        <v>2</v>
      </c>
      <c r="E19" s="60">
        <v>31</v>
      </c>
      <c r="F19" s="60">
        <v>5</v>
      </c>
      <c r="G19" s="60">
        <v>2</v>
      </c>
      <c r="H19" s="60">
        <v>4</v>
      </c>
      <c r="I19" s="61">
        <f t="shared" si="1"/>
        <v>35</v>
      </c>
      <c r="J19" s="62">
        <f t="shared" si="0"/>
        <v>159090.90909090909</v>
      </c>
      <c r="K19" s="63">
        <f t="shared" si="2"/>
        <v>5.2016453635280691</v>
      </c>
      <c r="L19" s="214">
        <f>IF(AND(I19&gt;29,I20&gt;29), AVERAGE(K19:K20),"")</f>
        <v>5.2747093813671881</v>
      </c>
      <c r="M19" s="216">
        <f>IF(AND(I19&gt;29,I20&gt;29),(K19-L19)^2,"")</f>
        <v>5.3383507027951124E-3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4</v>
      </c>
      <c r="D20" s="55">
        <v>2</v>
      </c>
      <c r="E20" s="55">
        <v>46</v>
      </c>
      <c r="F20" s="55">
        <v>5</v>
      </c>
      <c r="G20" s="55">
        <v>2</v>
      </c>
      <c r="H20" s="55">
        <v>3</v>
      </c>
      <c r="I20" s="64">
        <f t="shared" si="1"/>
        <v>49</v>
      </c>
      <c r="J20" s="57">
        <f t="shared" si="0"/>
        <v>222727.27272727271</v>
      </c>
      <c r="K20" s="58">
        <f t="shared" si="2"/>
        <v>5.3477733992063072</v>
      </c>
      <c r="L20" s="215"/>
      <c r="M20" s="217"/>
      <c r="N20" s="219"/>
    </row>
    <row r="21" spans="1:14" x14ac:dyDescent="0.25">
      <c r="A21" s="220" t="s">
        <v>236</v>
      </c>
      <c r="B21" s="59">
        <v>13</v>
      </c>
      <c r="C21" s="60">
        <v>3</v>
      </c>
      <c r="D21" s="60">
        <v>2</v>
      </c>
      <c r="E21" s="60">
        <v>62</v>
      </c>
      <c r="F21" s="60">
        <v>4</v>
      </c>
      <c r="G21" s="60">
        <v>2</v>
      </c>
      <c r="H21" s="60">
        <v>9</v>
      </c>
      <c r="I21" s="61">
        <f t="shared" si="1"/>
        <v>71</v>
      </c>
      <c r="J21" s="62">
        <f t="shared" si="0"/>
        <v>32272.727272727272</v>
      </c>
      <c r="K21" s="63">
        <f t="shared" si="2"/>
        <v>4.5088356678968688</v>
      </c>
      <c r="L21" s="214">
        <f>IF(AND(I21&gt;29,I22&gt;29), AVERAGE(K21:K22),"")</f>
        <v>4.5603277482569933</v>
      </c>
      <c r="M21" s="216">
        <f>IF(AND(I21&gt;29,I22&gt;29),(K21-L21)^2,"")</f>
        <v>2.6514343398135118E-3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3</v>
      </c>
      <c r="D22" s="55">
        <v>2</v>
      </c>
      <c r="E22" s="55">
        <v>75</v>
      </c>
      <c r="F22" s="55">
        <v>4</v>
      </c>
      <c r="G22" s="55">
        <v>2</v>
      </c>
      <c r="H22" s="55">
        <v>15</v>
      </c>
      <c r="I22" s="64">
        <f t="shared" si="1"/>
        <v>90</v>
      </c>
      <c r="J22" s="57">
        <f t="shared" si="0"/>
        <v>40909.090909090904</v>
      </c>
      <c r="K22" s="58">
        <f t="shared" si="2"/>
        <v>4.6118198286171186</v>
      </c>
      <c r="L22" s="215"/>
      <c r="M22" s="217"/>
      <c r="N22" s="219"/>
    </row>
    <row r="23" spans="1:14" x14ac:dyDescent="0.25">
      <c r="A23" s="220" t="s">
        <v>237</v>
      </c>
      <c r="B23" s="59">
        <v>15</v>
      </c>
      <c r="C23" s="60">
        <v>3</v>
      </c>
      <c r="D23" s="60">
        <v>2</v>
      </c>
      <c r="E23" s="60">
        <v>57</v>
      </c>
      <c r="F23" s="60">
        <v>4</v>
      </c>
      <c r="G23" s="60">
        <v>2</v>
      </c>
      <c r="H23" s="60">
        <v>20</v>
      </c>
      <c r="I23" s="61">
        <f t="shared" si="1"/>
        <v>77</v>
      </c>
      <c r="J23" s="62">
        <f t="shared" si="0"/>
        <v>35000</v>
      </c>
      <c r="K23" s="63">
        <f t="shared" si="2"/>
        <v>4.5440680443502757</v>
      </c>
      <c r="L23" s="214">
        <f>IF(AND(I23&gt;29,I24&gt;29), AVERAGE(K23:K24),"")</f>
        <v>4.4414433004518283</v>
      </c>
      <c r="M23" s="216">
        <f>IF(AND(I23&gt;29,I24&gt;29),(K23-L23)^2,"")</f>
        <v>1.0531838060221904E-2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3</v>
      </c>
      <c r="D24" s="55">
        <v>2</v>
      </c>
      <c r="E24" s="55">
        <v>44</v>
      </c>
      <c r="F24" s="55">
        <v>4</v>
      </c>
      <c r="G24" s="55">
        <v>2</v>
      </c>
      <c r="H24" s="55">
        <v>4</v>
      </c>
      <c r="I24" s="64">
        <f t="shared" si="1"/>
        <v>48</v>
      </c>
      <c r="J24" s="57">
        <f t="shared" si="0"/>
        <v>21818.181818181816</v>
      </c>
      <c r="K24" s="58">
        <f t="shared" si="2"/>
        <v>4.338818556553381</v>
      </c>
      <c r="L24" s="215"/>
      <c r="M24" s="217"/>
      <c r="N24" s="219"/>
    </row>
    <row r="25" spans="1:14" x14ac:dyDescent="0.25">
      <c r="A25" s="220" t="s">
        <v>238</v>
      </c>
      <c r="B25" s="59">
        <v>17</v>
      </c>
      <c r="C25" s="60">
        <v>4</v>
      </c>
      <c r="D25" s="60">
        <v>2</v>
      </c>
      <c r="E25" s="60">
        <v>74</v>
      </c>
      <c r="F25" s="60">
        <v>5</v>
      </c>
      <c r="G25" s="60">
        <v>2</v>
      </c>
      <c r="H25" s="60">
        <v>5</v>
      </c>
      <c r="I25" s="61">
        <f t="shared" si="1"/>
        <v>79</v>
      </c>
      <c r="J25" s="62">
        <f t="shared" si="0"/>
        <v>359090.90909090906</v>
      </c>
      <c r="K25" s="63">
        <f t="shared" si="2"/>
        <v>5.5552044104682352</v>
      </c>
      <c r="L25" s="214">
        <f>IF(AND(I25&gt;29,I26&gt;29), AVERAGE(K25:K26),"")</f>
        <v>5.5736400904447985</v>
      </c>
      <c r="M25" s="216">
        <f>IF(AND(I25&gt;29,I26&gt;29),(K25-L25)^2,"")</f>
        <v>3.3987429619825542E-4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4</v>
      </c>
      <c r="D26" s="55">
        <v>2</v>
      </c>
      <c r="E26" s="55">
        <v>62</v>
      </c>
      <c r="F26" s="55">
        <v>5</v>
      </c>
      <c r="G26" s="55">
        <v>2</v>
      </c>
      <c r="H26" s="55">
        <v>24</v>
      </c>
      <c r="I26" s="64">
        <f t="shared" si="1"/>
        <v>86</v>
      </c>
      <c r="J26" s="57">
        <f t="shared" si="0"/>
        <v>390909.09090909088</v>
      </c>
      <c r="K26" s="58">
        <f t="shared" si="2"/>
        <v>5.5920757704213617</v>
      </c>
      <c r="L26" s="215"/>
      <c r="M26" s="217"/>
      <c r="N26" s="219"/>
    </row>
    <row r="27" spans="1:14" x14ac:dyDescent="0.25">
      <c r="A27" s="220" t="s">
        <v>239</v>
      </c>
      <c r="B27" s="49">
        <v>19</v>
      </c>
      <c r="C27" s="50">
        <v>4</v>
      </c>
      <c r="D27" s="50">
        <v>2</v>
      </c>
      <c r="E27" s="50">
        <v>30</v>
      </c>
      <c r="F27" s="50">
        <v>5</v>
      </c>
      <c r="G27" s="50">
        <v>1</v>
      </c>
      <c r="H27" s="50">
        <v>2</v>
      </c>
      <c r="I27" s="51">
        <f t="shared" si="1"/>
        <v>32</v>
      </c>
      <c r="J27" s="52">
        <f t="shared" si="0"/>
        <v>152380.95238095237</v>
      </c>
      <c r="K27" s="53">
        <f t="shared" si="2"/>
        <v>5.1829306835859867</v>
      </c>
      <c r="L27" s="224">
        <f>IF(AND(I27&gt;29,I28&gt;29), AVERAGE(K27:K28),"")</f>
        <v>5.1960951529471613</v>
      </c>
      <c r="M27" s="216">
        <f>IF(AND(I27&gt;29,I28&gt;29),(K27-L27)^2,"")</f>
        <v>1.7330325356130339E-4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2</v>
      </c>
      <c r="E28" s="66">
        <v>33</v>
      </c>
      <c r="F28" s="66">
        <v>5</v>
      </c>
      <c r="G28" s="66">
        <v>1</v>
      </c>
      <c r="H28" s="66">
        <v>1</v>
      </c>
      <c r="I28" s="67">
        <f t="shared" si="1"/>
        <v>34</v>
      </c>
      <c r="J28" s="68">
        <f t="shared" si="0"/>
        <v>161904.76190476189</v>
      </c>
      <c r="K28" s="69">
        <f t="shared" si="2"/>
        <v>5.2092596223083358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4.705673259015735E-2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9.4113465180314701E-2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9.7012094699740758E-2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6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1:K42"/>
  <sheetViews>
    <sheetView topLeftCell="A2"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3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339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338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410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3</v>
      </c>
      <c r="D9" s="32">
        <f>39+41+50+6+8+11</f>
        <v>155</v>
      </c>
      <c r="E9" s="32"/>
      <c r="F9" s="32"/>
      <c r="G9" s="32"/>
      <c r="H9" s="5">
        <f>G9+D9</f>
        <v>155</v>
      </c>
      <c r="I9" s="33">
        <f t="shared" ref="I9:I19" si="0">IF(H9&gt;29,H9/(C9+0.1*F9)*10^(B9),"")</f>
        <v>516666.66666666663</v>
      </c>
      <c r="J9" s="7">
        <f>IF(H9&gt;29,LOG10(I9),"")</f>
        <v>5.7132104434506292</v>
      </c>
      <c r="K9" s="34">
        <f>IF(H9&gt;29,(J9-$J$21)^2,"")</f>
        <v>0.49830838970113228</v>
      </c>
    </row>
    <row r="10" spans="1:11" x14ac:dyDescent="0.25">
      <c r="A10" s="9">
        <v>2</v>
      </c>
      <c r="B10" s="32">
        <v>3</v>
      </c>
      <c r="C10" s="32">
        <v>3</v>
      </c>
      <c r="D10" s="29">
        <f>5+6+7+16+13+18</f>
        <v>65</v>
      </c>
      <c r="E10" s="32">
        <v>4</v>
      </c>
      <c r="F10" s="32">
        <v>3</v>
      </c>
      <c r="G10" s="29">
        <f>5+0+3+2</f>
        <v>10</v>
      </c>
      <c r="H10" s="5">
        <f t="shared" ref="H10:H19" si="1">G10+D10</f>
        <v>75</v>
      </c>
      <c r="I10" s="6">
        <f t="shared" si="0"/>
        <v>22727.272727272732</v>
      </c>
      <c r="J10" s="7">
        <f t="shared" ref="J10:J19" si="2">IF(H10&gt;29,LOG10(I10),"")</f>
        <v>4.356547323513813</v>
      </c>
      <c r="K10" s="8">
        <f t="shared" ref="K10:K19" si="3">IF(H10&gt;29,(J10-$J$21)^2,"")</f>
        <v>0.42348011943839264</v>
      </c>
    </row>
    <row r="11" spans="1:11" x14ac:dyDescent="0.25">
      <c r="A11" s="9">
        <v>3</v>
      </c>
      <c r="B11" s="32">
        <v>4</v>
      </c>
      <c r="C11" s="32">
        <v>3</v>
      </c>
      <c r="D11" s="29">
        <f>16+13+10+16+10+12</f>
        <v>77</v>
      </c>
      <c r="E11" s="32"/>
      <c r="F11" s="32"/>
      <c r="G11" s="29"/>
      <c r="H11" s="5">
        <f>G11+D11</f>
        <v>77</v>
      </c>
      <c r="I11" s="6">
        <f>IF(H11&gt;29,H11/(C11+0.1*F11)*10^(B11),"")</f>
        <v>256666.66666666669</v>
      </c>
      <c r="J11" s="7">
        <f t="shared" si="2"/>
        <v>5.4093694704528197</v>
      </c>
      <c r="K11" s="8">
        <f>IF(H11&gt;29,(J11-$J$21)^2,"")</f>
        <v>0.16165919581575733</v>
      </c>
    </row>
    <row r="12" spans="1:11" x14ac:dyDescent="0.25">
      <c r="A12" s="9">
        <v>4</v>
      </c>
      <c r="B12" s="32">
        <v>3</v>
      </c>
      <c r="C12" s="32">
        <v>3</v>
      </c>
      <c r="D12" s="29">
        <f>21+24+26+80+72+73</f>
        <v>296</v>
      </c>
      <c r="E12" s="32">
        <v>4</v>
      </c>
      <c r="F12" s="32">
        <v>3</v>
      </c>
      <c r="G12" s="29">
        <f>8+2+1+8+8+6</f>
        <v>33</v>
      </c>
      <c r="H12" s="10">
        <f t="shared" si="1"/>
        <v>329</v>
      </c>
      <c r="I12" s="6">
        <f t="shared" si="0"/>
        <v>99696.969696969696</v>
      </c>
      <c r="J12" s="7">
        <f t="shared" si="2"/>
        <v>4.9986819580720869</v>
      </c>
      <c r="K12" s="8">
        <f t="shared" si="3"/>
        <v>7.4284863702152139E-5</v>
      </c>
    </row>
    <row r="13" spans="1:11" x14ac:dyDescent="0.25">
      <c r="A13" s="9">
        <v>5</v>
      </c>
      <c r="B13" s="32">
        <v>4</v>
      </c>
      <c r="C13" s="32">
        <v>3</v>
      </c>
      <c r="D13" s="29">
        <f>8+8+7+21+20+16</f>
        <v>80</v>
      </c>
      <c r="E13" s="32"/>
      <c r="F13" s="32"/>
      <c r="G13" s="29"/>
      <c r="H13" s="10">
        <f t="shared" si="1"/>
        <v>80</v>
      </c>
      <c r="I13" s="6">
        <f t="shared" si="0"/>
        <v>266666.66666666669</v>
      </c>
      <c r="J13" s="7">
        <f t="shared" si="2"/>
        <v>5.4259687322722812</v>
      </c>
      <c r="K13" s="8">
        <f t="shared" si="3"/>
        <v>0.1752828167458281</v>
      </c>
    </row>
    <row r="14" spans="1:11" x14ac:dyDescent="0.25">
      <c r="A14" s="9">
        <v>6</v>
      </c>
      <c r="B14" s="32">
        <v>3</v>
      </c>
      <c r="C14" s="32">
        <v>3</v>
      </c>
      <c r="D14" s="29">
        <f>28+25+23+34+40+30</f>
        <v>180</v>
      </c>
      <c r="E14" s="32">
        <v>4</v>
      </c>
      <c r="F14" s="32">
        <v>3</v>
      </c>
      <c r="G14" s="29">
        <f>3+5+4+5+4+5</f>
        <v>26</v>
      </c>
      <c r="H14" s="10">
        <f t="shared" si="1"/>
        <v>206</v>
      </c>
      <c r="I14" s="6">
        <f t="shared" si="0"/>
        <v>62424.242424242431</v>
      </c>
      <c r="J14" s="7">
        <f t="shared" si="2"/>
        <v>4.7953532804912662</v>
      </c>
      <c r="K14" s="8">
        <f t="shared" si="3"/>
        <v>4.4921761539206607E-2</v>
      </c>
    </row>
    <row r="15" spans="1:11" x14ac:dyDescent="0.25">
      <c r="A15" s="9">
        <v>7</v>
      </c>
      <c r="B15" s="32">
        <v>3</v>
      </c>
      <c r="C15" s="32">
        <v>3</v>
      </c>
      <c r="D15" s="29">
        <f>18+14+9+107+110+120</f>
        <v>378</v>
      </c>
      <c r="E15" s="32">
        <v>4</v>
      </c>
      <c r="F15" s="32">
        <v>3</v>
      </c>
      <c r="G15" s="29">
        <f>3+2+2+20+16+15</f>
        <v>58</v>
      </c>
      <c r="H15" s="10">
        <f t="shared" si="1"/>
        <v>436</v>
      </c>
      <c r="I15" s="6">
        <f t="shared" si="0"/>
        <v>132121.21212121213</v>
      </c>
      <c r="J15" s="7">
        <f t="shared" si="2"/>
        <v>5.1209725493906983</v>
      </c>
      <c r="K15" s="8">
        <f t="shared" si="3"/>
        <v>1.2921260971046046E-2</v>
      </c>
    </row>
    <row r="16" spans="1:11" x14ac:dyDescent="0.25">
      <c r="A16" s="9">
        <v>8</v>
      </c>
      <c r="B16" s="32">
        <v>3</v>
      </c>
      <c r="C16" s="32">
        <v>3</v>
      </c>
      <c r="D16" s="29">
        <f>6+10+11+36+42+38</f>
        <v>143</v>
      </c>
      <c r="E16" s="32">
        <v>4</v>
      </c>
      <c r="F16" s="32">
        <v>3</v>
      </c>
      <c r="G16" s="29">
        <f>3+1+3+5+4</f>
        <v>16</v>
      </c>
      <c r="H16" s="10">
        <f t="shared" si="1"/>
        <v>159</v>
      </c>
      <c r="I16" s="6">
        <f t="shared" si="0"/>
        <v>48181.818181818184</v>
      </c>
      <c r="J16" s="7">
        <f t="shared" si="2"/>
        <v>4.6828831844425638</v>
      </c>
      <c r="K16" s="8">
        <f t="shared" si="3"/>
        <v>0.10524680537616428</v>
      </c>
    </row>
    <row r="17" spans="1:11" x14ac:dyDescent="0.25">
      <c r="A17" s="9">
        <v>9</v>
      </c>
      <c r="B17" s="32">
        <v>3</v>
      </c>
      <c r="C17" s="32">
        <v>3</v>
      </c>
      <c r="D17" s="29">
        <f>3+4+4+14+12+13</f>
        <v>50</v>
      </c>
      <c r="E17" s="32">
        <v>4</v>
      </c>
      <c r="F17" s="32">
        <v>3</v>
      </c>
      <c r="G17" s="29">
        <f>1+1+10+2</f>
        <v>14</v>
      </c>
      <c r="H17" s="10">
        <f t="shared" si="1"/>
        <v>64</v>
      </c>
      <c r="I17" s="6">
        <f t="shared" si="0"/>
        <v>19393.939393939396</v>
      </c>
      <c r="J17" s="7">
        <f t="shared" si="2"/>
        <v>4.2876660341059996</v>
      </c>
      <c r="K17" s="8">
        <f t="shared" si="3"/>
        <v>0.51787423197958793</v>
      </c>
    </row>
    <row r="18" spans="1:11" x14ac:dyDescent="0.25">
      <c r="A18" s="9">
        <v>10</v>
      </c>
      <c r="B18" s="32">
        <v>3</v>
      </c>
      <c r="C18" s="32">
        <v>3</v>
      </c>
      <c r="D18" s="29">
        <f>52+36+28+95+102+110</f>
        <v>423</v>
      </c>
      <c r="E18" s="32">
        <v>4</v>
      </c>
      <c r="F18" s="32">
        <v>3</v>
      </c>
      <c r="G18" s="29">
        <f>6+8+15+26+12</f>
        <v>67</v>
      </c>
      <c r="H18" s="10">
        <f t="shared" si="1"/>
        <v>490</v>
      </c>
      <c r="I18" s="6">
        <f t="shared" si="0"/>
        <v>148484.84848484851</v>
      </c>
      <c r="J18" s="7">
        <f t="shared" si="2"/>
        <v>5.1716821401506259</v>
      </c>
      <c r="K18" s="8">
        <f t="shared" si="3"/>
        <v>2.7021216835855965E-2</v>
      </c>
    </row>
    <row r="19" spans="1:11" ht="13.8" thickBot="1" x14ac:dyDescent="0.3">
      <c r="A19" s="11">
        <v>11</v>
      </c>
      <c r="B19" s="156">
        <v>3</v>
      </c>
      <c r="C19" s="156">
        <v>3</v>
      </c>
      <c r="D19" s="157">
        <f>10+12+14+120+108+96</f>
        <v>360</v>
      </c>
      <c r="E19" s="156">
        <v>4</v>
      </c>
      <c r="F19" s="156">
        <v>3</v>
      </c>
      <c r="G19" s="30">
        <f>6+5+3+15+23+21</f>
        <v>73</v>
      </c>
      <c r="H19" s="12">
        <f t="shared" si="1"/>
        <v>433</v>
      </c>
      <c r="I19" s="27">
        <f t="shared" si="0"/>
        <v>131212.12121212122</v>
      </c>
      <c r="J19" s="13">
        <f t="shared" si="2"/>
        <v>5.1179739564754776</v>
      </c>
      <c r="K19" s="25">
        <f t="shared" si="3"/>
        <v>1.2248542074490032E-2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154931.12947658403</v>
      </c>
      <c r="J21" s="17">
        <f>AVERAGE(J9:J19)</f>
        <v>5.0073008248016606</v>
      </c>
      <c r="K21" s="18">
        <f>SUM(K9:K19)</f>
        <v>1.9790386253411631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146172.4763906032</v>
      </c>
      <c r="J22" s="31">
        <f>STDEV(J9:J19)</f>
        <v>0.44486386966589714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94.346744185257762</v>
      </c>
      <c r="J23" s="19">
        <f>J22/J21*100</f>
        <v>8.8843048426897386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0.44486386966589714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29" spans="1:11" x14ac:dyDescent="0.25">
      <c r="J29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{42EA902F-CDD4-45AF-8EAD-B90542EE972C}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2EA902F-CDD4-45AF-8EAD-B90542EE972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" style="38" customWidth="1"/>
    <col min="13" max="13" width="25.6640625" style="38" customWidth="1"/>
    <col min="14" max="14" width="21.55468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229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165</v>
      </c>
      <c r="C4" s="208"/>
      <c r="D4" s="209"/>
      <c r="F4" s="210" t="s">
        <v>393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230</v>
      </c>
      <c r="B9" s="49">
        <v>1</v>
      </c>
      <c r="C9" s="50">
        <v>2</v>
      </c>
      <c r="D9" s="50">
        <v>2</v>
      </c>
      <c r="E9" s="50">
        <v>59</v>
      </c>
      <c r="F9" s="50">
        <v>3</v>
      </c>
      <c r="G9" s="50">
        <v>1</v>
      </c>
      <c r="H9" s="50">
        <v>1</v>
      </c>
      <c r="I9" s="51">
        <f>H9+E9</f>
        <v>60</v>
      </c>
      <c r="J9" s="52">
        <f t="shared" ref="J9:J28" si="0">IF(I9&gt;29,I9/(D9+0.1*G9)*10^(C9),"")</f>
        <v>2857.1428571428569</v>
      </c>
      <c r="K9" s="53">
        <f>IF(I9&gt;29,LOG10(J9),"")</f>
        <v>3.4559319556497243</v>
      </c>
      <c r="L9" s="214">
        <f>IF(AND(I9&gt;29,I10&gt;29), AVERAGE(K9:K10),"")</f>
        <v>3.3784809756568528</v>
      </c>
      <c r="M9" s="216">
        <f>IF(AND(I9&gt;29,I10&gt;29),(K9-L9)^2,"")</f>
        <v>5.9986543018561876E-3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2</v>
      </c>
      <c r="D10" s="55">
        <v>2</v>
      </c>
      <c r="E10" s="55">
        <v>41</v>
      </c>
      <c r="F10" s="55">
        <v>3</v>
      </c>
      <c r="G10" s="55">
        <v>1</v>
      </c>
      <c r="H10" s="55">
        <v>1</v>
      </c>
      <c r="I10" s="56">
        <f t="shared" ref="I10:I28" si="1">H10+E10</f>
        <v>42</v>
      </c>
      <c r="J10" s="57">
        <f>IF(I10&gt;29,I10/(D10+0.1*G10)*10^(C10),"")</f>
        <v>2000</v>
      </c>
      <c r="K10" s="58">
        <f>IF(I10&gt;29,LOG10(J10),"")</f>
        <v>3.3010299956639813</v>
      </c>
      <c r="L10" s="215"/>
      <c r="M10" s="217"/>
      <c r="N10" s="219"/>
    </row>
    <row r="11" spans="1:14" x14ac:dyDescent="0.25">
      <c r="A11" s="257" t="s">
        <v>231</v>
      </c>
      <c r="B11" s="59">
        <v>3</v>
      </c>
      <c r="C11" s="60">
        <v>3</v>
      </c>
      <c r="D11" s="60">
        <v>2</v>
      </c>
      <c r="E11" s="60">
        <v>61</v>
      </c>
      <c r="F11" s="60">
        <v>4</v>
      </c>
      <c r="G11" s="60">
        <v>2</v>
      </c>
      <c r="H11" s="60">
        <v>10</v>
      </c>
      <c r="I11" s="61">
        <f t="shared" si="1"/>
        <v>71</v>
      </c>
      <c r="J11" s="62">
        <f t="shared" si="0"/>
        <v>32272.727272727272</v>
      </c>
      <c r="K11" s="63">
        <f t="shared" ref="K11:K28" si="2">IF(I11&gt;29,LOG10(J11),"")</f>
        <v>4.5088356678968688</v>
      </c>
      <c r="L11" s="214">
        <f>IF(AND(I11&gt;29,I12&gt;29), AVERAGE(K11:K12),"")</f>
        <v>4.4494033734488152</v>
      </c>
      <c r="M11" s="216">
        <f>IF(AND(I11&gt;29,I12&gt;29),(K11-L11)^2,"")</f>
        <v>3.5321976233601482E-3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3</v>
      </c>
      <c r="D12" s="50">
        <v>2</v>
      </c>
      <c r="E12" s="50">
        <v>48</v>
      </c>
      <c r="F12" s="50">
        <v>4</v>
      </c>
      <c r="G12" s="50">
        <v>2</v>
      </c>
      <c r="H12" s="50">
        <v>6</v>
      </c>
      <c r="I12" s="64">
        <f t="shared" si="1"/>
        <v>54</v>
      </c>
      <c r="J12" s="57">
        <f t="shared" si="0"/>
        <v>24545.454545454544</v>
      </c>
      <c r="K12" s="58">
        <f t="shared" si="2"/>
        <v>4.3899710790007624</v>
      </c>
      <c r="L12" s="215"/>
      <c r="M12" s="217"/>
      <c r="N12" s="219"/>
    </row>
    <row r="13" spans="1:14" x14ac:dyDescent="0.25">
      <c r="A13" s="220" t="s">
        <v>232</v>
      </c>
      <c r="B13" s="59">
        <v>5</v>
      </c>
      <c r="C13" s="60">
        <v>3</v>
      </c>
      <c r="D13" s="60">
        <v>2</v>
      </c>
      <c r="E13" s="60">
        <v>101</v>
      </c>
      <c r="F13" s="60">
        <v>4</v>
      </c>
      <c r="G13" s="60">
        <v>2</v>
      </c>
      <c r="H13" s="60">
        <v>8</v>
      </c>
      <c r="I13" s="61">
        <f t="shared" si="1"/>
        <v>109</v>
      </c>
      <c r="J13" s="62">
        <f t="shared" si="0"/>
        <v>49545.454545454537</v>
      </c>
      <c r="K13" s="63">
        <f t="shared" si="2"/>
        <v>4.6950038171184172</v>
      </c>
      <c r="L13" s="214">
        <f>IF(AND(I13&gt;29,I14&gt;29), AVERAGE(K13:K14),"")</f>
        <v>4.6741081654468806</v>
      </c>
      <c r="M13" s="216">
        <f>IF(AND(I13&gt;29,I14&gt;29),(K13-L13)^2,"")</f>
        <v>4.3662825877819109E-4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3</v>
      </c>
      <c r="D14" s="55">
        <v>2</v>
      </c>
      <c r="E14" s="55">
        <v>92</v>
      </c>
      <c r="F14" s="55">
        <v>4</v>
      </c>
      <c r="G14" s="55">
        <v>2</v>
      </c>
      <c r="H14" s="55">
        <v>7</v>
      </c>
      <c r="I14" s="64">
        <f t="shared" si="1"/>
        <v>99</v>
      </c>
      <c r="J14" s="57">
        <f t="shared" si="0"/>
        <v>44999.999999999993</v>
      </c>
      <c r="K14" s="58">
        <f t="shared" si="2"/>
        <v>4.653212513775344</v>
      </c>
      <c r="L14" s="215"/>
      <c r="M14" s="217"/>
      <c r="N14" s="219"/>
    </row>
    <row r="15" spans="1:14" x14ac:dyDescent="0.25">
      <c r="A15" s="220" t="s">
        <v>233</v>
      </c>
      <c r="B15" s="59">
        <v>7</v>
      </c>
      <c r="C15" s="60">
        <v>2</v>
      </c>
      <c r="D15" s="60">
        <v>2</v>
      </c>
      <c r="E15" s="60">
        <v>43</v>
      </c>
      <c r="F15" s="60">
        <v>3</v>
      </c>
      <c r="G15" s="60">
        <v>2</v>
      </c>
      <c r="H15" s="60">
        <v>8</v>
      </c>
      <c r="I15" s="61">
        <f t="shared" si="1"/>
        <v>51</v>
      </c>
      <c r="J15" s="62">
        <f t="shared" si="0"/>
        <v>2318.181818181818</v>
      </c>
      <c r="K15" s="63">
        <f t="shared" si="2"/>
        <v>3.3651474952757301</v>
      </c>
      <c r="L15" s="214">
        <f>IF(AND(I15&gt;29,I16&gt;29), AVERAGE(K15:K16),"")</f>
        <v>3.399401528107151</v>
      </c>
      <c r="M15" s="216">
        <f>IF(AND(I15&gt;29,I16&gt;29),(K15-L15)^2,"")</f>
        <v>1.1733387652160625E-3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2</v>
      </c>
      <c r="D16" s="55">
        <v>2</v>
      </c>
      <c r="E16" s="55">
        <v>54</v>
      </c>
      <c r="F16" s="55">
        <v>3</v>
      </c>
      <c r="G16" s="55">
        <v>1</v>
      </c>
      <c r="H16" s="55">
        <v>3</v>
      </c>
      <c r="I16" s="64">
        <f t="shared" si="1"/>
        <v>57</v>
      </c>
      <c r="J16" s="57">
        <f t="shared" si="0"/>
        <v>2714.2857142857142</v>
      </c>
      <c r="K16" s="58">
        <f t="shared" si="2"/>
        <v>3.4336555609385719</v>
      </c>
      <c r="L16" s="215"/>
      <c r="M16" s="217"/>
      <c r="N16" s="219"/>
    </row>
    <row r="17" spans="1:14" x14ac:dyDescent="0.25">
      <c r="A17" s="220" t="s">
        <v>242</v>
      </c>
      <c r="B17" s="59">
        <v>9</v>
      </c>
      <c r="C17" s="60">
        <v>4</v>
      </c>
      <c r="D17" s="60">
        <v>2</v>
      </c>
      <c r="E17" s="60">
        <v>39</v>
      </c>
      <c r="F17" s="60">
        <v>5</v>
      </c>
      <c r="G17" s="60">
        <v>2</v>
      </c>
      <c r="H17" s="60">
        <v>3</v>
      </c>
      <c r="I17" s="61">
        <f t="shared" si="1"/>
        <v>42</v>
      </c>
      <c r="J17" s="62">
        <f t="shared" si="0"/>
        <v>190909.09090909091</v>
      </c>
      <c r="K17" s="63">
        <f t="shared" si="2"/>
        <v>5.2808266095756942</v>
      </c>
      <c r="L17" s="214">
        <f>IF(AND(I17&gt;29,I18&gt;29), AVERAGE(K17:K18),"")</f>
        <v>5.2647342678899935</v>
      </c>
      <c r="M17" s="216">
        <f>IF(AND(I17&gt;29,I18&gt;29),(K17-L17)^2,"")</f>
        <v>2.589634609293378E-4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4</v>
      </c>
      <c r="D18" s="55">
        <v>2</v>
      </c>
      <c r="E18" s="55">
        <v>34</v>
      </c>
      <c r="F18" s="55">
        <v>5</v>
      </c>
      <c r="G18" s="55">
        <v>2</v>
      </c>
      <c r="H18" s="55">
        <v>5</v>
      </c>
      <c r="I18" s="64">
        <f t="shared" si="1"/>
        <v>39</v>
      </c>
      <c r="J18" s="57">
        <f t="shared" si="0"/>
        <v>177272.72727272726</v>
      </c>
      <c r="K18" s="58">
        <f t="shared" si="2"/>
        <v>5.2486419262042929</v>
      </c>
      <c r="L18" s="215"/>
      <c r="M18" s="217"/>
      <c r="N18" s="219"/>
    </row>
    <row r="19" spans="1:14" x14ac:dyDescent="0.25">
      <c r="A19" s="220" t="s">
        <v>235</v>
      </c>
      <c r="B19" s="59">
        <v>11</v>
      </c>
      <c r="C19" s="60">
        <v>3</v>
      </c>
      <c r="D19" s="60">
        <v>2</v>
      </c>
      <c r="E19" s="60">
        <v>63</v>
      </c>
      <c r="F19" s="60">
        <v>4</v>
      </c>
      <c r="G19" s="60">
        <v>2</v>
      </c>
      <c r="H19" s="60">
        <v>16</v>
      </c>
      <c r="I19" s="61">
        <f t="shared" si="1"/>
        <v>79</v>
      </c>
      <c r="J19" s="62">
        <f t="shared" si="0"/>
        <v>35909.090909090904</v>
      </c>
      <c r="K19" s="63">
        <f t="shared" si="2"/>
        <v>4.5552044104682352</v>
      </c>
      <c r="L19" s="214">
        <f>IF(AND(I19&gt;29,I20&gt;29), AVERAGE(K19:K20),"")</f>
        <v>4.5439214965188643</v>
      </c>
      <c r="M19" s="216">
        <f>IF(AND(I19&gt;29,I20&gt;29),(K19-L19)^2,"")</f>
        <v>1.2730414718890767E-4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3</v>
      </c>
      <c r="D20" s="55">
        <v>2</v>
      </c>
      <c r="E20" s="55">
        <v>65</v>
      </c>
      <c r="F20" s="55">
        <v>4</v>
      </c>
      <c r="G20" s="55">
        <v>2</v>
      </c>
      <c r="H20" s="55">
        <v>10</v>
      </c>
      <c r="I20" s="64">
        <f t="shared" si="1"/>
        <v>75</v>
      </c>
      <c r="J20" s="57">
        <f t="shared" si="0"/>
        <v>34090.909090909088</v>
      </c>
      <c r="K20" s="58">
        <f t="shared" si="2"/>
        <v>4.5326385825694935</v>
      </c>
      <c r="L20" s="215"/>
      <c r="M20" s="217"/>
      <c r="N20" s="219"/>
    </row>
    <row r="21" spans="1:14" x14ac:dyDescent="0.25">
      <c r="A21" s="220" t="s">
        <v>236</v>
      </c>
      <c r="B21" s="59">
        <v>13</v>
      </c>
      <c r="C21" s="60">
        <v>3</v>
      </c>
      <c r="D21" s="60">
        <v>2</v>
      </c>
      <c r="E21" s="60">
        <v>49</v>
      </c>
      <c r="F21" s="60">
        <v>4</v>
      </c>
      <c r="G21" s="60">
        <v>2</v>
      </c>
      <c r="H21" s="60">
        <v>6</v>
      </c>
      <c r="I21" s="61">
        <f t="shared" si="1"/>
        <v>55</v>
      </c>
      <c r="J21" s="62">
        <f t="shared" si="0"/>
        <v>24999.999999999996</v>
      </c>
      <c r="K21" s="63">
        <f t="shared" si="2"/>
        <v>4.3979400086720375</v>
      </c>
      <c r="L21" s="214">
        <f>IF(AND(I21&gt;29,I22&gt;29), AVERAGE(K21:K22),"")</f>
        <v>4.4765722095701364</v>
      </c>
      <c r="M21" s="216">
        <f>IF(AND(I21&gt;29,I22&gt;29),(K21-L21)^2,"")</f>
        <v>6.1830230180789786E-3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3</v>
      </c>
      <c r="D22" s="55">
        <v>2</v>
      </c>
      <c r="E22" s="55">
        <v>57</v>
      </c>
      <c r="F22" s="55">
        <v>4</v>
      </c>
      <c r="G22" s="55">
        <v>2</v>
      </c>
      <c r="H22" s="55">
        <v>22</v>
      </c>
      <c r="I22" s="64">
        <f t="shared" si="1"/>
        <v>79</v>
      </c>
      <c r="J22" s="57">
        <f t="shared" si="0"/>
        <v>35909.090909090904</v>
      </c>
      <c r="K22" s="58">
        <f t="shared" si="2"/>
        <v>4.5552044104682352</v>
      </c>
      <c r="L22" s="215"/>
      <c r="M22" s="217"/>
      <c r="N22" s="219"/>
    </row>
    <row r="23" spans="1:14" x14ac:dyDescent="0.25">
      <c r="A23" s="220" t="s">
        <v>237</v>
      </c>
      <c r="B23" s="59">
        <v>15</v>
      </c>
      <c r="C23" s="60">
        <v>3</v>
      </c>
      <c r="D23" s="60">
        <v>2</v>
      </c>
      <c r="E23" s="60">
        <v>90</v>
      </c>
      <c r="F23" s="60">
        <v>4</v>
      </c>
      <c r="G23" s="60">
        <v>2</v>
      </c>
      <c r="H23" s="60">
        <v>6</v>
      </c>
      <c r="I23" s="61">
        <f t="shared" si="1"/>
        <v>96</v>
      </c>
      <c r="J23" s="62">
        <f t="shared" si="0"/>
        <v>43636.363636363632</v>
      </c>
      <c r="K23" s="63">
        <f t="shared" si="2"/>
        <v>4.6398485522173623</v>
      </c>
      <c r="L23" s="214">
        <f>IF(AND(I23&gt;29,I24&gt;29), AVERAGE(K23:K24),"")</f>
        <v>4.5803743657578053</v>
      </c>
      <c r="M23" s="216">
        <f>IF(AND(I23&gt;29,I24&gt;29),(K23-L23)^2,"")</f>
        <v>3.5371788550261451E-3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3</v>
      </c>
      <c r="D24" s="55">
        <v>2</v>
      </c>
      <c r="E24" s="55">
        <v>62</v>
      </c>
      <c r="F24" s="55">
        <v>4</v>
      </c>
      <c r="G24" s="55">
        <v>2</v>
      </c>
      <c r="H24" s="55">
        <v>11</v>
      </c>
      <c r="I24" s="64">
        <f t="shared" si="1"/>
        <v>73</v>
      </c>
      <c r="J24" s="57">
        <f t="shared" si="0"/>
        <v>33181.818181818177</v>
      </c>
      <c r="K24" s="58">
        <f t="shared" si="2"/>
        <v>4.5209001792982493</v>
      </c>
      <c r="L24" s="215"/>
      <c r="M24" s="217"/>
      <c r="N24" s="219"/>
    </row>
    <row r="25" spans="1:14" x14ac:dyDescent="0.25">
      <c r="A25" s="220" t="s">
        <v>238</v>
      </c>
      <c r="B25" s="59">
        <v>17</v>
      </c>
      <c r="C25" s="60">
        <v>4</v>
      </c>
      <c r="D25" s="60">
        <v>2</v>
      </c>
      <c r="E25" s="60">
        <v>50</v>
      </c>
      <c r="F25" s="60">
        <v>5</v>
      </c>
      <c r="G25" s="60">
        <v>2</v>
      </c>
      <c r="H25" s="60">
        <v>10</v>
      </c>
      <c r="I25" s="61">
        <f t="shared" si="1"/>
        <v>60</v>
      </c>
      <c r="J25" s="62">
        <f t="shared" si="0"/>
        <v>272727.27272727271</v>
      </c>
      <c r="K25" s="63">
        <f t="shared" si="2"/>
        <v>5.4357285695614372</v>
      </c>
      <c r="L25" s="214">
        <f>IF(AND(I25&gt;29,I26&gt;29), AVERAGE(K25:K26),"")</f>
        <v>5.4497429313615591</v>
      </c>
      <c r="M25" s="216">
        <f>IF(AND(I25&gt;29,I26&gt;29),(K25-L25)^2,"")</f>
        <v>1.9640233666471407E-4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4</v>
      </c>
      <c r="D26" s="55">
        <v>2</v>
      </c>
      <c r="E26" s="55">
        <v>56</v>
      </c>
      <c r="F26" s="55">
        <v>5</v>
      </c>
      <c r="G26" s="55">
        <v>2</v>
      </c>
      <c r="H26" s="55">
        <v>8</v>
      </c>
      <c r="I26" s="64">
        <f t="shared" si="1"/>
        <v>64</v>
      </c>
      <c r="J26" s="57">
        <f t="shared" si="0"/>
        <v>290909.09090909088</v>
      </c>
      <c r="K26" s="58">
        <f t="shared" si="2"/>
        <v>5.4637572931616809</v>
      </c>
      <c r="L26" s="215"/>
      <c r="M26" s="217"/>
      <c r="N26" s="219"/>
    </row>
    <row r="27" spans="1:14" x14ac:dyDescent="0.25">
      <c r="A27" s="220" t="s">
        <v>239</v>
      </c>
      <c r="B27" s="49">
        <v>19</v>
      </c>
      <c r="C27" s="50">
        <v>3</v>
      </c>
      <c r="D27" s="50">
        <v>2</v>
      </c>
      <c r="E27" s="50">
        <v>28</v>
      </c>
      <c r="F27" s="50">
        <v>4</v>
      </c>
      <c r="G27" s="50">
        <v>1</v>
      </c>
      <c r="H27" s="50">
        <v>2</v>
      </c>
      <c r="I27" s="51">
        <f t="shared" si="1"/>
        <v>30</v>
      </c>
      <c r="J27" s="52">
        <f t="shared" si="0"/>
        <v>14285.714285714284</v>
      </c>
      <c r="K27" s="53">
        <f t="shared" si="2"/>
        <v>4.1549019599857431</v>
      </c>
      <c r="L27" s="224">
        <f>IF(AND(I27&gt;29,I28&gt;29), AVERAGE(K27:K28),"")</f>
        <v>4.1755983025648558</v>
      </c>
      <c r="M27" s="216">
        <f>IF(AND(I27&gt;29,I28&gt;29),(K27-L27)^2,"")</f>
        <v>4.2833859615199252E-4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3</v>
      </c>
      <c r="D28" s="66">
        <v>2</v>
      </c>
      <c r="E28" s="66">
        <v>31</v>
      </c>
      <c r="F28" s="66">
        <v>4</v>
      </c>
      <c r="G28" s="66">
        <v>1</v>
      </c>
      <c r="H28" s="66">
        <v>2</v>
      </c>
      <c r="I28" s="67">
        <f t="shared" si="1"/>
        <v>33</v>
      </c>
      <c r="J28" s="68">
        <f t="shared" si="0"/>
        <v>15714.285714285714</v>
      </c>
      <c r="K28" s="69">
        <f t="shared" si="2"/>
        <v>4.1962946451439684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2.1872029363250667E-2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4.3744058726501334E-2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6.6139291443514367E-2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  <mergeCell ref="A21:A22"/>
    <mergeCell ref="L21:L22"/>
    <mergeCell ref="M21:M22"/>
    <mergeCell ref="N21:N22"/>
    <mergeCell ref="A23:A24"/>
    <mergeCell ref="L23:L24"/>
    <mergeCell ref="M23:M24"/>
    <mergeCell ref="N23:N24"/>
    <mergeCell ref="A17:A18"/>
    <mergeCell ref="L17:L18"/>
    <mergeCell ref="M17:M18"/>
    <mergeCell ref="N17:N18"/>
    <mergeCell ref="A19:A20"/>
    <mergeCell ref="L19:L20"/>
    <mergeCell ref="M19:M20"/>
    <mergeCell ref="N19:N20"/>
    <mergeCell ref="A13:A14"/>
    <mergeCell ref="L13:L14"/>
    <mergeCell ref="M13:M14"/>
    <mergeCell ref="N13:N14"/>
    <mergeCell ref="A15:A16"/>
    <mergeCell ref="L15:L16"/>
    <mergeCell ref="M15:M16"/>
    <mergeCell ref="N15:N16"/>
    <mergeCell ref="L9:L10"/>
    <mergeCell ref="M9:M10"/>
    <mergeCell ref="N9:N10"/>
    <mergeCell ref="A11:A12"/>
    <mergeCell ref="L11:L12"/>
    <mergeCell ref="M11:M12"/>
    <mergeCell ref="N11:N12"/>
    <mergeCell ref="A9:A10"/>
    <mergeCell ref="B3:D3"/>
    <mergeCell ref="B4:D4"/>
    <mergeCell ref="F4:I4"/>
    <mergeCell ref="B5:D5"/>
    <mergeCell ref="B6:D6"/>
  </mergeCells>
  <conditionalFormatting sqref="I9:I28">
    <cfRule type="cellIs" dxfId="5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269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270</v>
      </c>
      <c r="C4" s="202"/>
      <c r="D4" s="203"/>
      <c r="F4" s="201" t="s">
        <v>245</v>
      </c>
      <c r="G4" s="202"/>
      <c r="H4" s="202"/>
      <c r="I4" s="203"/>
    </row>
    <row r="5" spans="1:11" x14ac:dyDescent="0.25">
      <c r="A5" s="24" t="s">
        <v>94</v>
      </c>
      <c r="B5" s="201" t="s">
        <v>26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59" t="s">
        <v>244</v>
      </c>
      <c r="C6" s="260"/>
      <c r="D6" s="261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6</v>
      </c>
      <c r="C9" s="32">
        <v>2</v>
      </c>
      <c r="D9" s="32">
        <v>138</v>
      </c>
      <c r="E9" s="32"/>
      <c r="F9" s="32"/>
      <c r="G9" s="32"/>
      <c r="H9" s="133">
        <f>G9+D9</f>
        <v>138</v>
      </c>
      <c r="I9" s="134">
        <f t="shared" ref="I9:I19" si="0">IF(H9&gt;29,H9/(C9+0.1*F9)*10^(B9),"")</f>
        <v>69000000</v>
      </c>
      <c r="J9" s="135">
        <f>IF(H9&gt;29,LOG10(I9),"")</f>
        <v>7.8388490907372557</v>
      </c>
      <c r="K9" s="136">
        <f t="shared" ref="K9:K19" si="1">IF(H9&gt;29,(J9-$J$21)^2,"")</f>
        <v>6.6424190361624141E-2</v>
      </c>
    </row>
    <row r="10" spans="1:11" s="3" customFormat="1" x14ac:dyDescent="0.25">
      <c r="A10" s="137">
        <v>2</v>
      </c>
      <c r="B10" s="29">
        <v>6</v>
      </c>
      <c r="C10" s="32">
        <v>2</v>
      </c>
      <c r="D10" s="29">
        <v>124</v>
      </c>
      <c r="E10" s="32"/>
      <c r="F10" s="32"/>
      <c r="G10" s="29"/>
      <c r="H10" s="133">
        <f t="shared" ref="H10:H19" si="2">G10+D10</f>
        <v>124</v>
      </c>
      <c r="I10" s="138">
        <f t="shared" si="0"/>
        <v>62000000</v>
      </c>
      <c r="J10" s="135">
        <f t="shared" ref="J10:J19" si="3">IF(H10&gt;29,LOG10(I10),"")</f>
        <v>7.7923916894982534</v>
      </c>
      <c r="K10" s="139">
        <f t="shared" si="1"/>
        <v>9.2529311132980907E-2</v>
      </c>
    </row>
    <row r="11" spans="1:11" x14ac:dyDescent="0.25">
      <c r="A11" s="9">
        <v>3</v>
      </c>
      <c r="B11" s="29">
        <v>6</v>
      </c>
      <c r="C11" s="32">
        <v>2</v>
      </c>
      <c r="D11" s="29">
        <v>246</v>
      </c>
      <c r="E11" s="32"/>
      <c r="F11" s="32"/>
      <c r="G11" s="29"/>
      <c r="H11" s="5">
        <f>G11+D11</f>
        <v>246</v>
      </c>
      <c r="I11" s="6">
        <f>IF(H11&gt;29,H11/(C11+0.1*F11)*10^(B11),"")</f>
        <v>123000000</v>
      </c>
      <c r="J11" s="7">
        <f t="shared" si="3"/>
        <v>8.0899051114393981</v>
      </c>
      <c r="K11" s="8">
        <f>IF(H11&gt;29,(J11-$J$21)^2,"")</f>
        <v>4.4527433764131075E-5</v>
      </c>
    </row>
    <row r="12" spans="1:11" x14ac:dyDescent="0.25">
      <c r="A12" s="9">
        <v>4</v>
      </c>
      <c r="B12" s="29">
        <v>7</v>
      </c>
      <c r="C12" s="32">
        <v>2</v>
      </c>
      <c r="D12" s="29">
        <v>47</v>
      </c>
      <c r="E12" s="32"/>
      <c r="F12" s="32"/>
      <c r="G12" s="29"/>
      <c r="H12" s="10">
        <f t="shared" si="2"/>
        <v>47</v>
      </c>
      <c r="I12" s="6">
        <f t="shared" si="0"/>
        <v>235000000</v>
      </c>
      <c r="J12" s="7">
        <f t="shared" si="3"/>
        <v>8.3710678622717367</v>
      </c>
      <c r="K12" s="8">
        <f t="shared" si="1"/>
        <v>7.5344684818136082E-2</v>
      </c>
    </row>
    <row r="13" spans="1:11" x14ac:dyDescent="0.25">
      <c r="A13" s="9">
        <v>5</v>
      </c>
      <c r="B13" s="29">
        <v>6</v>
      </c>
      <c r="C13" s="32">
        <v>2</v>
      </c>
      <c r="D13" s="29">
        <v>233</v>
      </c>
      <c r="E13" s="32"/>
      <c r="F13" s="32"/>
      <c r="G13" s="29"/>
      <c r="H13" s="10">
        <f t="shared" si="2"/>
        <v>233</v>
      </c>
      <c r="I13" s="6">
        <f t="shared" si="0"/>
        <v>116500000</v>
      </c>
      <c r="J13" s="7">
        <f t="shared" si="3"/>
        <v>8.0663259253620385</v>
      </c>
      <c r="K13" s="8">
        <f t="shared" si="1"/>
        <v>9.1518798373152097E-4</v>
      </c>
    </row>
    <row r="14" spans="1:11" s="3" customFormat="1" x14ac:dyDescent="0.25">
      <c r="A14" s="137">
        <v>6</v>
      </c>
      <c r="B14" s="29">
        <v>6</v>
      </c>
      <c r="C14" s="32">
        <v>2</v>
      </c>
      <c r="D14" s="29">
        <v>168</v>
      </c>
      <c r="E14" s="32"/>
      <c r="F14" s="32"/>
      <c r="G14" s="29"/>
      <c r="H14" s="140">
        <f t="shared" si="2"/>
        <v>168</v>
      </c>
      <c r="I14" s="138">
        <f t="shared" si="0"/>
        <v>84000000</v>
      </c>
      <c r="J14" s="135">
        <f t="shared" si="3"/>
        <v>7.924279286061882</v>
      </c>
      <c r="K14" s="139">
        <f t="shared" si="1"/>
        <v>2.9686846618729685E-2</v>
      </c>
    </row>
    <row r="15" spans="1:11" s="3" customFormat="1" x14ac:dyDescent="0.25">
      <c r="A15" s="137">
        <v>7</v>
      </c>
      <c r="B15" s="29">
        <v>7</v>
      </c>
      <c r="C15" s="32">
        <v>2</v>
      </c>
      <c r="D15" s="29">
        <v>31</v>
      </c>
      <c r="E15" s="32"/>
      <c r="F15" s="32"/>
      <c r="G15" s="29"/>
      <c r="H15" s="140">
        <f t="shared" si="2"/>
        <v>31</v>
      </c>
      <c r="I15" s="138">
        <f t="shared" si="0"/>
        <v>155000000</v>
      </c>
      <c r="J15" s="135">
        <f t="shared" si="3"/>
        <v>8.1903316981702918</v>
      </c>
      <c r="K15" s="139">
        <f t="shared" si="1"/>
        <v>8.7897560326977656E-3</v>
      </c>
    </row>
    <row r="16" spans="1:11" x14ac:dyDescent="0.25">
      <c r="A16" s="9">
        <v>8</v>
      </c>
      <c r="B16" s="29">
        <v>6</v>
      </c>
      <c r="C16" s="32">
        <v>2</v>
      </c>
      <c r="D16" s="29">
        <v>145</v>
      </c>
      <c r="E16" s="32"/>
      <c r="F16" s="32"/>
      <c r="G16" s="29"/>
      <c r="H16" s="10">
        <f t="shared" si="2"/>
        <v>145</v>
      </c>
      <c r="I16" s="6">
        <f t="shared" si="0"/>
        <v>72500000</v>
      </c>
      <c r="J16" s="7">
        <f t="shared" si="3"/>
        <v>7.860338006570994</v>
      </c>
      <c r="K16" s="8">
        <f t="shared" si="1"/>
        <v>5.5809334212889104E-2</v>
      </c>
    </row>
    <row r="17" spans="1:11" x14ac:dyDescent="0.25">
      <c r="A17" s="9">
        <v>9</v>
      </c>
      <c r="B17" s="29">
        <v>7</v>
      </c>
      <c r="C17" s="32">
        <v>2</v>
      </c>
      <c r="D17" s="29">
        <v>33</v>
      </c>
      <c r="E17" s="32"/>
      <c r="F17" s="32"/>
      <c r="G17" s="29"/>
      <c r="H17" s="10">
        <f>G17+D17</f>
        <v>33</v>
      </c>
      <c r="I17" s="6">
        <f>IF(H17&gt;29,H17/(C17+0.1*F17)*10^(B17),"")</f>
        <v>165000000</v>
      </c>
      <c r="J17" s="7">
        <f t="shared" si="3"/>
        <v>8.2174839442139067</v>
      </c>
      <c r="K17" s="8">
        <f t="shared" si="1"/>
        <v>1.4618247490811033E-2</v>
      </c>
    </row>
    <row r="18" spans="1:11" x14ac:dyDescent="0.25">
      <c r="A18" s="9">
        <v>10</v>
      </c>
      <c r="B18" s="29">
        <v>7</v>
      </c>
      <c r="C18" s="32">
        <v>2</v>
      </c>
      <c r="D18" s="29">
        <v>42</v>
      </c>
      <c r="E18" s="32"/>
      <c r="F18" s="32"/>
      <c r="G18" s="29"/>
      <c r="H18" s="10">
        <f t="shared" si="2"/>
        <v>42</v>
      </c>
      <c r="I18" s="6">
        <f t="shared" si="0"/>
        <v>210000000</v>
      </c>
      <c r="J18" s="7">
        <f t="shared" si="3"/>
        <v>8.3222192947339195</v>
      </c>
      <c r="K18" s="8">
        <f t="shared" si="1"/>
        <v>5.0913994158975462E-2</v>
      </c>
    </row>
    <row r="19" spans="1:11" ht="13.8" thickBot="1" x14ac:dyDescent="0.3">
      <c r="A19" s="11">
        <v>11</v>
      </c>
      <c r="B19" s="30">
        <v>7</v>
      </c>
      <c r="C19" s="30">
        <v>2</v>
      </c>
      <c r="D19" s="30">
        <v>49</v>
      </c>
      <c r="E19" s="30"/>
      <c r="F19" s="30"/>
      <c r="G19" s="30"/>
      <c r="H19" s="12">
        <f t="shared" si="2"/>
        <v>49</v>
      </c>
      <c r="I19" s="27">
        <f t="shared" si="0"/>
        <v>245000000</v>
      </c>
      <c r="J19" s="13">
        <f t="shared" si="3"/>
        <v>8.3891660843645326</v>
      </c>
      <c r="K19" s="25">
        <f t="shared" si="1"/>
        <v>8.5607787461924101E-2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139727272.72727272</v>
      </c>
      <c r="J21" s="17">
        <f>AVERAGE(J9:J19)</f>
        <v>8.0965779994022018</v>
      </c>
      <c r="K21" s="18">
        <f>SUM(K9:K19)</f>
        <v>0.48068386770626392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67422312.19572778</v>
      </c>
      <c r="J22" s="31">
        <f>STDEV(J9:J19)</f>
        <v>0.21924503818929722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48.252793373650334</v>
      </c>
      <c r="J23" s="19">
        <f>J22/J21*100</f>
        <v>2.7078728594411716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0.21924503818929722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{3E4E42C0-2D47-44FC-8A9A-202C89D8580F}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E4E42C0-2D47-44FC-8A9A-202C89D8580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1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268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198</v>
      </c>
      <c r="C4" s="202"/>
      <c r="D4" s="203"/>
      <c r="F4" s="201" t="s">
        <v>263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246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1</v>
      </c>
      <c r="C9" s="32">
        <v>2</v>
      </c>
      <c r="D9" s="32">
        <v>158</v>
      </c>
      <c r="E9" s="32"/>
      <c r="F9" s="32"/>
      <c r="G9" s="32"/>
      <c r="H9" s="133">
        <f>G9+D9</f>
        <v>158</v>
      </c>
      <c r="I9" s="134">
        <f t="shared" ref="I9:I19" si="0">IF(H9&gt;29,H9/(C9+0.1*F9)*10^(B9),"")</f>
        <v>790</v>
      </c>
      <c r="J9" s="135">
        <f>IF(H9&gt;29,LOG10(I9),"")</f>
        <v>2.8976270912904414</v>
      </c>
      <c r="K9" s="136">
        <f t="shared" ref="K9:K19" si="1">IF(H9&gt;29,(J9-$J$21)^2,"")</f>
        <v>5.0466836587386994E-2</v>
      </c>
    </row>
    <row r="10" spans="1:11" s="3" customFormat="1" x14ac:dyDescent="0.25">
      <c r="A10" s="137">
        <v>2</v>
      </c>
      <c r="B10" s="29">
        <v>1</v>
      </c>
      <c r="C10" s="32">
        <v>2</v>
      </c>
      <c r="D10" s="29">
        <v>209</v>
      </c>
      <c r="E10" s="32"/>
      <c r="F10" s="32"/>
      <c r="G10" s="29"/>
      <c r="H10" s="133">
        <f t="shared" ref="H10:H19" si="2">G10+D10</f>
        <v>209</v>
      </c>
      <c r="I10" s="138">
        <f t="shared" si="0"/>
        <v>1045</v>
      </c>
      <c r="J10" s="135">
        <f t="shared" ref="J10:J19" si="3">IF(H10&gt;29,LOG10(I10),"")</f>
        <v>3.019116290447073</v>
      </c>
      <c r="K10" s="139">
        <f t="shared" si="1"/>
        <v>0.11981113426230598</v>
      </c>
    </row>
    <row r="11" spans="1:11" x14ac:dyDescent="0.25">
      <c r="A11" s="9">
        <v>3</v>
      </c>
      <c r="B11" s="29">
        <v>1</v>
      </c>
      <c r="C11" s="32">
        <v>2</v>
      </c>
      <c r="D11" s="29">
        <v>114</v>
      </c>
      <c r="E11" s="32"/>
      <c r="F11" s="32"/>
      <c r="G11" s="29"/>
      <c r="H11" s="5">
        <f>G11+D11</f>
        <v>114</v>
      </c>
      <c r="I11" s="6">
        <f>IF(H11&gt;29,H11/(C11+0.1*F11)*10^(B11),"")</f>
        <v>570</v>
      </c>
      <c r="J11" s="7">
        <f t="shared" si="3"/>
        <v>2.7558748556724915</v>
      </c>
      <c r="K11" s="8">
        <f>IF(H11&gt;29,(J11-$J$21)^2,"")</f>
        <v>6.8717493330210889E-3</v>
      </c>
    </row>
    <row r="12" spans="1:11" x14ac:dyDescent="0.25">
      <c r="A12" s="9">
        <v>4</v>
      </c>
      <c r="B12" s="29">
        <v>1</v>
      </c>
      <c r="C12" s="32">
        <v>2</v>
      </c>
      <c r="D12" s="29">
        <v>74</v>
      </c>
      <c r="E12" s="32"/>
      <c r="F12" s="32"/>
      <c r="G12" s="29"/>
      <c r="H12" s="10">
        <f t="shared" si="2"/>
        <v>74</v>
      </c>
      <c r="I12" s="6">
        <f t="shared" si="0"/>
        <v>370</v>
      </c>
      <c r="J12" s="7">
        <f t="shared" si="3"/>
        <v>2.568201724066995</v>
      </c>
      <c r="K12" s="8">
        <f t="shared" si="1"/>
        <v>1.0978244126065007E-2</v>
      </c>
    </row>
    <row r="13" spans="1:11" x14ac:dyDescent="0.25">
      <c r="A13" s="9">
        <v>5</v>
      </c>
      <c r="B13" s="29">
        <v>1</v>
      </c>
      <c r="C13" s="32">
        <v>2</v>
      </c>
      <c r="D13" s="29">
        <v>39</v>
      </c>
      <c r="E13" s="32"/>
      <c r="F13" s="32"/>
      <c r="G13" s="29"/>
      <c r="H13" s="10">
        <f t="shared" si="2"/>
        <v>39</v>
      </c>
      <c r="I13" s="6">
        <f t="shared" si="0"/>
        <v>195</v>
      </c>
      <c r="J13" s="7">
        <f t="shared" si="3"/>
        <v>2.2900346113625178</v>
      </c>
      <c r="K13" s="8">
        <f t="shared" si="1"/>
        <v>0.14664628262257173</v>
      </c>
    </row>
    <row r="14" spans="1:11" s="3" customFormat="1" x14ac:dyDescent="0.25">
      <c r="A14" s="137">
        <v>6</v>
      </c>
      <c r="B14" s="29">
        <v>1</v>
      </c>
      <c r="C14" s="32">
        <v>2</v>
      </c>
      <c r="D14" s="29">
        <v>112</v>
      </c>
      <c r="E14" s="32"/>
      <c r="F14" s="32"/>
      <c r="G14" s="29"/>
      <c r="H14" s="140">
        <f t="shared" si="2"/>
        <v>112</v>
      </c>
      <c r="I14" s="138">
        <f t="shared" si="0"/>
        <v>560</v>
      </c>
      <c r="J14" s="135">
        <f t="shared" si="3"/>
        <v>2.7481880270062002</v>
      </c>
      <c r="K14" s="139">
        <f t="shared" si="1"/>
        <v>5.6564217363244719E-3</v>
      </c>
    </row>
    <row r="15" spans="1:11" s="3" customFormat="1" x14ac:dyDescent="0.25">
      <c r="A15" s="137">
        <v>7</v>
      </c>
      <c r="B15" s="29">
        <v>1</v>
      </c>
      <c r="C15" s="32">
        <v>2</v>
      </c>
      <c r="D15" s="29">
        <v>57</v>
      </c>
      <c r="E15" s="32"/>
      <c r="F15" s="32"/>
      <c r="G15" s="29"/>
      <c r="H15" s="140">
        <f t="shared" si="2"/>
        <v>57</v>
      </c>
      <c r="I15" s="138">
        <f t="shared" si="0"/>
        <v>285</v>
      </c>
      <c r="J15" s="135">
        <f t="shared" si="3"/>
        <v>2.4548448600085102</v>
      </c>
      <c r="K15" s="139">
        <f t="shared" si="1"/>
        <v>4.7582433441000965E-2</v>
      </c>
    </row>
    <row r="16" spans="1:11" x14ac:dyDescent="0.25">
      <c r="A16" s="9">
        <v>8</v>
      </c>
      <c r="B16" s="29">
        <v>1</v>
      </c>
      <c r="C16" s="32">
        <v>2</v>
      </c>
      <c r="D16" s="29">
        <v>94</v>
      </c>
      <c r="E16" s="32"/>
      <c r="F16" s="32"/>
      <c r="G16" s="29"/>
      <c r="H16" s="10">
        <f t="shared" si="2"/>
        <v>94</v>
      </c>
      <c r="I16" s="6">
        <f t="shared" si="0"/>
        <v>470</v>
      </c>
      <c r="J16" s="7">
        <f t="shared" si="3"/>
        <v>2.6720978579357175</v>
      </c>
      <c r="K16" s="8">
        <f t="shared" si="1"/>
        <v>7.7613026216976345E-7</v>
      </c>
    </row>
    <row r="17" spans="1:11" x14ac:dyDescent="0.25">
      <c r="A17" s="9">
        <v>9</v>
      </c>
      <c r="B17" s="29">
        <v>1</v>
      </c>
      <c r="C17" s="32">
        <v>2</v>
      </c>
      <c r="D17" s="29">
        <v>73</v>
      </c>
      <c r="E17" s="32"/>
      <c r="F17" s="32"/>
      <c r="G17" s="29"/>
      <c r="H17" s="10">
        <f>G17+D17</f>
        <v>73</v>
      </c>
      <c r="I17" s="6">
        <f>IF(H17&gt;29,H17/(C17+0.1*F17)*10^(B17),"")</f>
        <v>365</v>
      </c>
      <c r="J17" s="7">
        <f t="shared" si="3"/>
        <v>2.5622928644564746</v>
      </c>
      <c r="K17" s="8">
        <f t="shared" si="1"/>
        <v>1.2251385290647392E-2</v>
      </c>
    </row>
    <row r="18" spans="1:11" x14ac:dyDescent="0.25">
      <c r="A18" s="9">
        <v>10</v>
      </c>
      <c r="B18" s="29">
        <v>1</v>
      </c>
      <c r="C18" s="32">
        <v>2</v>
      </c>
      <c r="D18" s="29">
        <v>98</v>
      </c>
      <c r="E18" s="32"/>
      <c r="F18" s="32"/>
      <c r="G18" s="29"/>
      <c r="H18" s="10">
        <f t="shared" si="2"/>
        <v>98</v>
      </c>
      <c r="I18" s="6">
        <f t="shared" si="0"/>
        <v>490</v>
      </c>
      <c r="J18" s="7">
        <f t="shared" si="3"/>
        <v>2.6901960800285138</v>
      </c>
      <c r="K18" s="8">
        <f t="shared" si="1"/>
        <v>2.9643333730272788E-4</v>
      </c>
    </row>
    <row r="19" spans="1:11" ht="13.8" thickBot="1" x14ac:dyDescent="0.3">
      <c r="A19" s="11">
        <v>11</v>
      </c>
      <c r="B19" s="30">
        <v>1</v>
      </c>
      <c r="C19" s="30">
        <v>2</v>
      </c>
      <c r="D19" s="30">
        <v>111</v>
      </c>
      <c r="E19" s="30"/>
      <c r="F19" s="30"/>
      <c r="G19" s="30"/>
      <c r="H19" s="12">
        <f t="shared" si="2"/>
        <v>111</v>
      </c>
      <c r="I19" s="27">
        <f t="shared" si="0"/>
        <v>555</v>
      </c>
      <c r="J19" s="13">
        <f t="shared" si="3"/>
        <v>2.7442929831226763</v>
      </c>
      <c r="K19" s="25">
        <f t="shared" si="1"/>
        <v>5.0857069393349724E-3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517.72727272727275</v>
      </c>
      <c r="J21" s="17">
        <f>AVERAGE(J9:J19)</f>
        <v>2.6729788404906922</v>
      </c>
      <c r="K21" s="18">
        <f>SUM(K9:K19)</f>
        <v>0.40564740380622349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237.60643548064553</v>
      </c>
      <c r="J22" s="31">
        <f>STDEV(J9:J19)</f>
        <v>0.2014069025148402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45.894131523917487</v>
      </c>
      <c r="J23" s="19">
        <f>J22/J21*100</f>
        <v>7.5349231899593683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0.2014069025148402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{F7B0616C-B721-42D7-8FE3-930EA9E5E790}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7B0616C-B721-42D7-8FE3-930EA9E5E79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42"/>
  <sheetViews>
    <sheetView zoomScale="90" zoomScaleNormal="9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10937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271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198</v>
      </c>
      <c r="C4" s="202"/>
      <c r="D4" s="203"/>
      <c r="F4" s="201" t="s">
        <v>160</v>
      </c>
      <c r="G4" s="202"/>
      <c r="H4" s="202"/>
      <c r="I4" s="203"/>
    </row>
    <row r="5" spans="1:11" x14ac:dyDescent="0.25">
      <c r="A5" s="24" t="s">
        <v>94</v>
      </c>
      <c r="B5" s="201" t="s">
        <v>247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248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4</v>
      </c>
      <c r="C9" s="32">
        <v>2</v>
      </c>
      <c r="D9" s="32">
        <v>33</v>
      </c>
      <c r="E9" s="32">
        <v>5</v>
      </c>
      <c r="F9" s="32">
        <v>2</v>
      </c>
      <c r="G9" s="32">
        <v>6</v>
      </c>
      <c r="H9" s="133">
        <f>G9+D9</f>
        <v>39</v>
      </c>
      <c r="I9" s="134">
        <f t="shared" ref="I9:I19" si="0">IF(H9&gt;29,H9/(C9+0.1*F9)*10^(B9),"")</f>
        <v>177272.72727272726</v>
      </c>
      <c r="J9" s="135">
        <f>IF(H9&gt;29,LOG10(I9),"")</f>
        <v>5.2486419262042929</v>
      </c>
      <c r="K9" s="136">
        <f t="shared" ref="K9:K19" si="1">IF(H9&gt;29,(J9-$J$21)^2,"")</f>
        <v>3.1120992867472064E-3</v>
      </c>
    </row>
    <row r="10" spans="1:11" s="3" customFormat="1" x14ac:dyDescent="0.25">
      <c r="A10" s="137">
        <v>2</v>
      </c>
      <c r="B10" s="29">
        <v>4</v>
      </c>
      <c r="C10" s="32">
        <v>2</v>
      </c>
      <c r="D10" s="29">
        <v>35</v>
      </c>
      <c r="E10" s="32">
        <v>5</v>
      </c>
      <c r="F10" s="32">
        <v>2</v>
      </c>
      <c r="G10" s="29">
        <v>5</v>
      </c>
      <c r="H10" s="133">
        <f t="shared" ref="H10:H19" si="2">G10+D10</f>
        <v>40</v>
      </c>
      <c r="I10" s="138">
        <f t="shared" si="0"/>
        <v>181818.18181818179</v>
      </c>
      <c r="J10" s="135">
        <f t="shared" ref="J10:J19" si="3">IF(H10&gt;29,LOG10(I10),"")</f>
        <v>5.2596373105057559</v>
      </c>
      <c r="K10" s="139">
        <f t="shared" si="1"/>
        <v>2.0062165095962605E-3</v>
      </c>
    </row>
    <row r="11" spans="1:11" x14ac:dyDescent="0.25">
      <c r="A11" s="9">
        <v>3</v>
      </c>
      <c r="B11" s="29">
        <v>4</v>
      </c>
      <c r="C11" s="32">
        <v>2</v>
      </c>
      <c r="D11" s="29">
        <v>33</v>
      </c>
      <c r="E11" s="32">
        <v>5</v>
      </c>
      <c r="F11" s="32">
        <v>2</v>
      </c>
      <c r="G11" s="29">
        <v>7</v>
      </c>
      <c r="H11" s="5">
        <f>G11+D11</f>
        <v>40</v>
      </c>
      <c r="I11" s="6">
        <f>IF(H11&gt;29,H11/(C11+0.1*F11)*10^(B11),"")</f>
        <v>181818.18181818179</v>
      </c>
      <c r="J11" s="7">
        <f t="shared" si="3"/>
        <v>5.2596373105057559</v>
      </c>
      <c r="K11" s="8">
        <f>IF(H11&gt;29,(J11-$J$21)^2,"")</f>
        <v>2.0062165095962605E-3</v>
      </c>
    </row>
    <row r="12" spans="1:11" x14ac:dyDescent="0.25">
      <c r="A12" s="9">
        <v>4</v>
      </c>
      <c r="B12" s="29">
        <v>4</v>
      </c>
      <c r="C12" s="32">
        <v>2</v>
      </c>
      <c r="D12" s="29">
        <v>36</v>
      </c>
      <c r="E12" s="32">
        <v>5</v>
      </c>
      <c r="F12" s="32">
        <v>2</v>
      </c>
      <c r="G12" s="29">
        <v>9</v>
      </c>
      <c r="H12" s="10">
        <f t="shared" si="2"/>
        <v>45</v>
      </c>
      <c r="I12" s="6">
        <f t="shared" si="0"/>
        <v>204545.45454545453</v>
      </c>
      <c r="J12" s="7">
        <f t="shared" si="3"/>
        <v>5.3107898329531373</v>
      </c>
      <c r="K12" s="8">
        <f t="shared" si="1"/>
        <v>4.0471406690042468E-5</v>
      </c>
    </row>
    <row r="13" spans="1:11" x14ac:dyDescent="0.25">
      <c r="A13" s="9">
        <v>5</v>
      </c>
      <c r="B13" s="29">
        <v>4</v>
      </c>
      <c r="C13" s="32">
        <v>2</v>
      </c>
      <c r="D13" s="29">
        <v>43</v>
      </c>
      <c r="E13" s="32">
        <v>5</v>
      </c>
      <c r="F13" s="32">
        <v>2</v>
      </c>
      <c r="G13" s="29">
        <v>7</v>
      </c>
      <c r="H13" s="10">
        <f t="shared" si="2"/>
        <v>50</v>
      </c>
      <c r="I13" s="6">
        <f t="shared" si="0"/>
        <v>227272.72727272726</v>
      </c>
      <c r="J13" s="7">
        <f t="shared" si="3"/>
        <v>5.3565473235138121</v>
      </c>
      <c r="K13" s="8">
        <f t="shared" si="1"/>
        <v>2.7164114977375701E-3</v>
      </c>
    </row>
    <row r="14" spans="1:11" s="3" customFormat="1" x14ac:dyDescent="0.25">
      <c r="A14" s="137">
        <v>6</v>
      </c>
      <c r="B14" s="29">
        <v>4</v>
      </c>
      <c r="C14" s="32">
        <v>2</v>
      </c>
      <c r="D14" s="29">
        <v>48</v>
      </c>
      <c r="E14" s="32">
        <v>5</v>
      </c>
      <c r="F14" s="32">
        <v>2</v>
      </c>
      <c r="G14" s="29">
        <v>8</v>
      </c>
      <c r="H14" s="140">
        <f t="shared" si="2"/>
        <v>56</v>
      </c>
      <c r="I14" s="138">
        <f t="shared" si="0"/>
        <v>254545.45454545453</v>
      </c>
      <c r="J14" s="135">
        <f t="shared" si="3"/>
        <v>5.4057653461839941</v>
      </c>
      <c r="K14" s="139">
        <f t="shared" si="1"/>
        <v>1.0269233649475896E-2</v>
      </c>
    </row>
    <row r="15" spans="1:11" s="3" customFormat="1" x14ac:dyDescent="0.25">
      <c r="A15" s="137">
        <v>7</v>
      </c>
      <c r="B15" s="29">
        <v>4</v>
      </c>
      <c r="C15" s="32">
        <v>2</v>
      </c>
      <c r="D15" s="29">
        <v>37</v>
      </c>
      <c r="E15" s="32">
        <v>5</v>
      </c>
      <c r="F15" s="32">
        <v>2</v>
      </c>
      <c r="G15" s="29">
        <v>6</v>
      </c>
      <c r="H15" s="140">
        <f t="shared" si="2"/>
        <v>43</v>
      </c>
      <c r="I15" s="138">
        <f t="shared" si="0"/>
        <v>195454.54545454544</v>
      </c>
      <c r="J15" s="135">
        <f t="shared" si="3"/>
        <v>5.2910457747573805</v>
      </c>
      <c r="K15" s="139">
        <f t="shared" si="1"/>
        <v>1.7908713265601118E-4</v>
      </c>
    </row>
    <row r="16" spans="1:11" x14ac:dyDescent="0.25">
      <c r="A16" s="9">
        <v>8</v>
      </c>
      <c r="B16" s="29">
        <v>4</v>
      </c>
      <c r="C16" s="32">
        <v>2</v>
      </c>
      <c r="D16" s="29">
        <v>41</v>
      </c>
      <c r="E16" s="32">
        <v>5</v>
      </c>
      <c r="F16" s="32">
        <v>2</v>
      </c>
      <c r="G16" s="29">
        <v>7</v>
      </c>
      <c r="H16" s="10">
        <f t="shared" si="2"/>
        <v>48</v>
      </c>
      <c r="I16" s="6">
        <f t="shared" si="0"/>
        <v>218181.81818181818</v>
      </c>
      <c r="J16" s="7">
        <f t="shared" si="3"/>
        <v>5.338818556553381</v>
      </c>
      <c r="K16" s="8">
        <f t="shared" si="1"/>
        <v>1.1827022073761578E-3</v>
      </c>
    </row>
    <row r="17" spans="1:11" x14ac:dyDescent="0.25">
      <c r="A17" s="9">
        <v>9</v>
      </c>
      <c r="B17" s="29">
        <v>4</v>
      </c>
      <c r="C17" s="32">
        <v>2</v>
      </c>
      <c r="D17" s="29">
        <v>41</v>
      </c>
      <c r="E17" s="32">
        <v>5</v>
      </c>
      <c r="F17" s="32">
        <v>2</v>
      </c>
      <c r="G17" s="29">
        <v>6</v>
      </c>
      <c r="H17" s="10">
        <f>G17+D17</f>
        <v>47</v>
      </c>
      <c r="I17" s="6">
        <f>IF(H17&gt;29,H17/(C17+0.1*F17)*10^(B17),"")</f>
        <v>213636.36363636365</v>
      </c>
      <c r="J17" s="7">
        <f t="shared" si="3"/>
        <v>5.3296751771135114</v>
      </c>
      <c r="K17" s="8">
        <f t="shared" si="1"/>
        <v>6.3741395238977509E-4</v>
      </c>
    </row>
    <row r="18" spans="1:11" x14ac:dyDescent="0.25">
      <c r="A18" s="9">
        <v>10</v>
      </c>
      <c r="B18" s="29">
        <v>4</v>
      </c>
      <c r="C18" s="32">
        <v>2</v>
      </c>
      <c r="D18" s="29">
        <v>31</v>
      </c>
      <c r="E18" s="32">
        <v>5</v>
      </c>
      <c r="F18" s="32">
        <v>2</v>
      </c>
      <c r="G18" s="29">
        <v>7</v>
      </c>
      <c r="H18" s="10">
        <f t="shared" si="2"/>
        <v>38</v>
      </c>
      <c r="I18" s="6">
        <f t="shared" si="0"/>
        <v>172727.27272727271</v>
      </c>
      <c r="J18" s="7">
        <f t="shared" si="3"/>
        <v>5.2373609157946035</v>
      </c>
      <c r="K18" s="8">
        <f t="shared" si="1"/>
        <v>4.498009721878699E-3</v>
      </c>
    </row>
    <row r="19" spans="1:11" ht="13.8" thickBot="1" x14ac:dyDescent="0.3">
      <c r="A19" s="11">
        <v>11</v>
      </c>
      <c r="B19" s="30">
        <v>4</v>
      </c>
      <c r="C19" s="30">
        <v>2</v>
      </c>
      <c r="D19" s="30">
        <v>38</v>
      </c>
      <c r="E19" s="30">
        <v>5</v>
      </c>
      <c r="F19" s="30">
        <v>2</v>
      </c>
      <c r="G19" s="30">
        <v>7</v>
      </c>
      <c r="H19" s="12">
        <f t="shared" si="2"/>
        <v>45</v>
      </c>
      <c r="I19" s="27">
        <f t="shared" si="0"/>
        <v>204545.45454545453</v>
      </c>
      <c r="J19" s="13">
        <f t="shared" si="3"/>
        <v>5.3107898329531373</v>
      </c>
      <c r="K19" s="25">
        <f t="shared" si="1"/>
        <v>4.0471406690042468E-5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202892.56198347107</v>
      </c>
      <c r="J21" s="17">
        <f>AVERAGE(J9:J19)</f>
        <v>5.3044281188217068</v>
      </c>
      <c r="K21" s="18">
        <f>SUM(K9:K19)</f>
        <v>2.6688333280833924E-2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24752.721469269633</v>
      </c>
      <c r="J22" s="31">
        <f>STDEV(J9:J19)</f>
        <v>5.1660752298852482E-2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12.199915673244911</v>
      </c>
      <c r="J23" s="19">
        <f>J22/J21*100</f>
        <v>0.97391747313050758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5.1660752298852482E-2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{BA0153D2-BF35-42AC-9B14-5212E35F536C}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A0153D2-BF35-42AC-9B14-5212E35F536C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4.88671875" style="38" customWidth="1"/>
    <col min="13" max="13" width="23.5546875" style="38" customWidth="1"/>
    <col min="14" max="14" width="20.441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249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198</v>
      </c>
      <c r="C4" s="208"/>
      <c r="D4" s="209"/>
      <c r="F4" s="210" t="s">
        <v>393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250</v>
      </c>
      <c r="B9" s="49">
        <v>1</v>
      </c>
      <c r="C9" s="50">
        <v>4</v>
      </c>
      <c r="D9" s="50">
        <v>2</v>
      </c>
      <c r="E9" s="50">
        <v>41</v>
      </c>
      <c r="F9" s="50">
        <v>5</v>
      </c>
      <c r="G9" s="50">
        <v>1</v>
      </c>
      <c r="H9" s="50">
        <v>1</v>
      </c>
      <c r="I9" s="51">
        <f>H9+E9</f>
        <v>42</v>
      </c>
      <c r="J9" s="52">
        <f t="shared" ref="J9:J28" si="0">IF(I9&gt;29,I9/(D9+0.1*G9)*10^(C9),"")</f>
        <v>200000</v>
      </c>
      <c r="K9" s="53">
        <f>IF(I9&gt;29,LOG10(J9),"")</f>
        <v>5.3010299956639813</v>
      </c>
      <c r="L9" s="214">
        <f>IF(AND(I9&gt;29,I10&gt;29), AVERAGE(K9:K10),"")</f>
        <v>5.4658675842207369</v>
      </c>
      <c r="M9" s="216">
        <f>IF(AND(I9&gt;29,I10&gt;29),(K9-L9)^2,"")</f>
        <v>2.7171430601206269E-2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4</v>
      </c>
      <c r="D10" s="55">
        <v>2</v>
      </c>
      <c r="E10" s="55">
        <v>76</v>
      </c>
      <c r="F10" s="55">
        <v>5</v>
      </c>
      <c r="G10" s="55">
        <v>2</v>
      </c>
      <c r="H10" s="55">
        <v>18</v>
      </c>
      <c r="I10" s="56">
        <f t="shared" ref="I10:I28" si="1">H10+E10</f>
        <v>94</v>
      </c>
      <c r="J10" s="57">
        <f>IF(I10&gt;29,I10/(D10+0.1*G10)*10^(C10),"")</f>
        <v>427272.72727272729</v>
      </c>
      <c r="K10" s="58">
        <f>IF(I10&gt;29,LOG10(J10),"")</f>
        <v>5.6307051727774926</v>
      </c>
      <c r="L10" s="215"/>
      <c r="M10" s="217"/>
      <c r="N10" s="219"/>
    </row>
    <row r="11" spans="1:14" x14ac:dyDescent="0.25">
      <c r="A11" s="257" t="s">
        <v>251</v>
      </c>
      <c r="B11" s="59">
        <v>3</v>
      </c>
      <c r="C11" s="60">
        <v>4</v>
      </c>
      <c r="D11" s="60">
        <v>2</v>
      </c>
      <c r="E11" s="60">
        <v>39</v>
      </c>
      <c r="F11" s="60">
        <v>5</v>
      </c>
      <c r="G11" s="60">
        <v>2</v>
      </c>
      <c r="H11" s="60">
        <v>4</v>
      </c>
      <c r="I11" s="61">
        <f t="shared" si="1"/>
        <v>43</v>
      </c>
      <c r="J11" s="62">
        <f t="shared" si="0"/>
        <v>195454.54545454544</v>
      </c>
      <c r="K11" s="63">
        <f t="shared" ref="K11:K28" si="2">IF(I11&gt;29,LOG10(J11),"")</f>
        <v>5.2910457747573805</v>
      </c>
      <c r="L11" s="214">
        <f>IF(AND(I11&gt;29,I12&gt;29), AVERAGE(K11:K12),"")</f>
        <v>5.3157921558525176</v>
      </c>
      <c r="M11" s="216">
        <f>IF(AND(I11&gt;29,I12&gt;29),(K11-L11)^2,"")</f>
        <v>6.1238337730576181E-4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4</v>
      </c>
      <c r="D12" s="50">
        <v>2</v>
      </c>
      <c r="E12" s="50">
        <v>44</v>
      </c>
      <c r="F12" s="50">
        <v>5</v>
      </c>
      <c r="G12" s="50">
        <v>1</v>
      </c>
      <c r="H12" s="50">
        <v>2</v>
      </c>
      <c r="I12" s="64">
        <f t="shared" si="1"/>
        <v>46</v>
      </c>
      <c r="J12" s="57">
        <f t="shared" si="0"/>
        <v>219047.61904761905</v>
      </c>
      <c r="K12" s="58">
        <f t="shared" si="2"/>
        <v>5.3405385369476548</v>
      </c>
      <c r="L12" s="215"/>
      <c r="M12" s="217"/>
      <c r="N12" s="219"/>
    </row>
    <row r="13" spans="1:14" x14ac:dyDescent="0.25">
      <c r="A13" s="220" t="s">
        <v>252</v>
      </c>
      <c r="B13" s="59">
        <v>5</v>
      </c>
      <c r="C13" s="60">
        <v>4</v>
      </c>
      <c r="D13" s="60">
        <v>2</v>
      </c>
      <c r="E13" s="60">
        <v>138</v>
      </c>
      <c r="F13" s="60">
        <v>5</v>
      </c>
      <c r="G13" s="60">
        <v>2</v>
      </c>
      <c r="H13" s="60">
        <v>12</v>
      </c>
      <c r="I13" s="61">
        <f t="shared" si="1"/>
        <v>150</v>
      </c>
      <c r="J13" s="62">
        <f t="shared" si="0"/>
        <v>681818.18181818177</v>
      </c>
      <c r="K13" s="63">
        <f t="shared" si="2"/>
        <v>5.8336685782334747</v>
      </c>
      <c r="L13" s="214">
        <f>IF(AND(I13&gt;29,I14&gt;29), AVERAGE(K13:K14),"")</f>
        <v>5.7923337912867519</v>
      </c>
      <c r="M13" s="216">
        <f>IF(AND(I13&gt;29,I14&gt;29),(K13-L13)^2,"")</f>
        <v>1.7085646119309721E-3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4</v>
      </c>
      <c r="D14" s="55">
        <v>2</v>
      </c>
      <c r="E14" s="55">
        <v>115</v>
      </c>
      <c r="F14" s="55">
        <v>5</v>
      </c>
      <c r="G14" s="55">
        <v>2</v>
      </c>
      <c r="H14" s="55">
        <v>9</v>
      </c>
      <c r="I14" s="64">
        <f t="shared" si="1"/>
        <v>124</v>
      </c>
      <c r="J14" s="57">
        <f t="shared" si="0"/>
        <v>563636.36363636365</v>
      </c>
      <c r="K14" s="58">
        <f t="shared" si="2"/>
        <v>5.750999004340029</v>
      </c>
      <c r="L14" s="215"/>
      <c r="M14" s="217"/>
      <c r="N14" s="219"/>
    </row>
    <row r="15" spans="1:14" x14ac:dyDescent="0.25">
      <c r="A15" s="220" t="s">
        <v>253</v>
      </c>
      <c r="B15" s="59">
        <v>7</v>
      </c>
      <c r="C15" s="60">
        <v>4</v>
      </c>
      <c r="D15" s="60">
        <v>2</v>
      </c>
      <c r="E15" s="60">
        <v>112</v>
      </c>
      <c r="F15" s="60">
        <v>5</v>
      </c>
      <c r="G15" s="60">
        <v>2</v>
      </c>
      <c r="H15" s="60">
        <v>10</v>
      </c>
      <c r="I15" s="61">
        <f t="shared" si="1"/>
        <v>122</v>
      </c>
      <c r="J15" s="62">
        <f t="shared" si="0"/>
        <v>554545.45454545459</v>
      </c>
      <c r="K15" s="63">
        <f t="shared" si="2"/>
        <v>5.7439371498525418</v>
      </c>
      <c r="L15" s="214">
        <f>IF(AND(I15&gt;29,I16&gt;29), AVERAGE(K15:K16),"")</f>
        <v>5.7526590949931462</v>
      </c>
      <c r="M15" s="216">
        <f>IF(AND(I15&gt;29,I16&gt;29),(K15-L15)^2,"")</f>
        <v>7.6072327035713153E-5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4</v>
      </c>
      <c r="D16" s="55">
        <v>2</v>
      </c>
      <c r="E16" s="55">
        <v>119</v>
      </c>
      <c r="F16" s="55">
        <v>5</v>
      </c>
      <c r="G16" s="55">
        <v>2</v>
      </c>
      <c r="H16" s="55">
        <v>8</v>
      </c>
      <c r="I16" s="64">
        <f t="shared" si="1"/>
        <v>127</v>
      </c>
      <c r="J16" s="57">
        <f t="shared" si="0"/>
        <v>577272.72727272718</v>
      </c>
      <c r="K16" s="58">
        <f t="shared" si="2"/>
        <v>5.7613810401337506</v>
      </c>
      <c r="L16" s="215"/>
      <c r="M16" s="217"/>
      <c r="N16" s="219"/>
    </row>
    <row r="17" spans="1:14" x14ac:dyDescent="0.25">
      <c r="A17" s="220" t="s">
        <v>254</v>
      </c>
      <c r="B17" s="59">
        <v>9</v>
      </c>
      <c r="C17" s="60">
        <v>5</v>
      </c>
      <c r="D17" s="60">
        <v>2</v>
      </c>
      <c r="E17" s="60">
        <v>48</v>
      </c>
      <c r="F17" s="60">
        <v>6</v>
      </c>
      <c r="G17" s="60">
        <v>2</v>
      </c>
      <c r="H17" s="60">
        <v>5</v>
      </c>
      <c r="I17" s="61">
        <f t="shared" si="1"/>
        <v>53</v>
      </c>
      <c r="J17" s="62">
        <f t="shared" si="0"/>
        <v>2409090.9090909092</v>
      </c>
      <c r="K17" s="63">
        <f t="shared" si="2"/>
        <v>6.3818531887785825</v>
      </c>
      <c r="L17" s="214">
        <f>IF(AND(I17&gt;29,I18&gt;29), AVERAGE(K17:K18),"")</f>
        <v>6.3207452496421688</v>
      </c>
      <c r="M17" s="216">
        <f>IF(AND(I17&gt;29,I18&gt;29),(K17-L17)^2,"")</f>
        <v>3.7341802254996495E-3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5</v>
      </c>
      <c r="D18" s="55">
        <v>2</v>
      </c>
      <c r="E18" s="55">
        <v>36</v>
      </c>
      <c r="F18" s="55">
        <v>6</v>
      </c>
      <c r="G18" s="55">
        <v>2</v>
      </c>
      <c r="H18" s="55">
        <v>4</v>
      </c>
      <c r="I18" s="64">
        <f t="shared" si="1"/>
        <v>40</v>
      </c>
      <c r="J18" s="57">
        <f t="shared" si="0"/>
        <v>1818181.8181818179</v>
      </c>
      <c r="K18" s="58">
        <f t="shared" si="2"/>
        <v>6.2596373105057559</v>
      </c>
      <c r="L18" s="215"/>
      <c r="M18" s="217"/>
      <c r="N18" s="219"/>
    </row>
    <row r="19" spans="1:14" x14ac:dyDescent="0.25">
      <c r="A19" s="220" t="s">
        <v>255</v>
      </c>
      <c r="B19" s="59">
        <v>11</v>
      </c>
      <c r="C19" s="60">
        <v>5</v>
      </c>
      <c r="D19" s="60">
        <v>2</v>
      </c>
      <c r="E19" s="60">
        <v>41</v>
      </c>
      <c r="F19" s="60">
        <v>6</v>
      </c>
      <c r="G19" s="60">
        <v>2</v>
      </c>
      <c r="H19" s="60">
        <v>4</v>
      </c>
      <c r="I19" s="61">
        <f t="shared" si="1"/>
        <v>45</v>
      </c>
      <c r="J19" s="62">
        <f t="shared" si="0"/>
        <v>2045454.5454545454</v>
      </c>
      <c r="K19" s="63">
        <f t="shared" si="2"/>
        <v>6.3107898329531373</v>
      </c>
      <c r="L19" s="214">
        <f>IF(AND(I19&gt;29,I20&gt;29), AVERAGE(K19:K20),"")</f>
        <v>6.3009178038552589</v>
      </c>
      <c r="M19" s="216">
        <f>IF(AND(I19&gt;29,I20&gt;29),(K19-L19)^2,"")</f>
        <v>9.7456958509358442E-5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5</v>
      </c>
      <c r="D20" s="55">
        <v>2</v>
      </c>
      <c r="E20" s="55">
        <v>39</v>
      </c>
      <c r="F20" s="55">
        <v>6</v>
      </c>
      <c r="G20" s="55">
        <v>2</v>
      </c>
      <c r="H20" s="55">
        <v>4</v>
      </c>
      <c r="I20" s="64">
        <f t="shared" si="1"/>
        <v>43</v>
      </c>
      <c r="J20" s="57">
        <f t="shared" si="0"/>
        <v>1954545.4545454544</v>
      </c>
      <c r="K20" s="58">
        <f t="shared" si="2"/>
        <v>6.2910457747573805</v>
      </c>
      <c r="L20" s="215"/>
      <c r="M20" s="217"/>
      <c r="N20" s="219"/>
    </row>
    <row r="21" spans="1:14" x14ac:dyDescent="0.25">
      <c r="A21" s="220" t="s">
        <v>256</v>
      </c>
      <c r="B21" s="59">
        <v>13</v>
      </c>
      <c r="C21" s="60">
        <v>5</v>
      </c>
      <c r="D21" s="60">
        <v>2</v>
      </c>
      <c r="E21" s="60">
        <v>32</v>
      </c>
      <c r="F21" s="60">
        <v>6</v>
      </c>
      <c r="G21" s="60">
        <v>2</v>
      </c>
      <c r="H21" s="60">
        <v>3</v>
      </c>
      <c r="I21" s="61">
        <f t="shared" si="1"/>
        <v>35</v>
      </c>
      <c r="J21" s="62">
        <f t="shared" si="0"/>
        <v>1590909.0909090908</v>
      </c>
      <c r="K21" s="63">
        <f t="shared" si="2"/>
        <v>6.2016453635280691</v>
      </c>
      <c r="L21" s="214">
        <f>IF(AND(I21&gt;29,I22&gt;29), AVERAGE(K21:K22),"")</f>
        <v>6.2016453635280691</v>
      </c>
      <c r="M21" s="216">
        <f>IF(AND(I21&gt;29,I22&gt;29),(K21-L21)^2,"")</f>
        <v>0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5</v>
      </c>
      <c r="D22" s="55">
        <v>2</v>
      </c>
      <c r="E22" s="55">
        <v>32</v>
      </c>
      <c r="F22" s="55">
        <v>6</v>
      </c>
      <c r="G22" s="55">
        <v>2</v>
      </c>
      <c r="H22" s="55">
        <v>3</v>
      </c>
      <c r="I22" s="64">
        <f t="shared" si="1"/>
        <v>35</v>
      </c>
      <c r="J22" s="57">
        <f t="shared" si="0"/>
        <v>1590909.0909090908</v>
      </c>
      <c r="K22" s="58">
        <f t="shared" si="2"/>
        <v>6.2016453635280691</v>
      </c>
      <c r="L22" s="215"/>
      <c r="M22" s="217"/>
      <c r="N22" s="219"/>
    </row>
    <row r="23" spans="1:14" x14ac:dyDescent="0.25">
      <c r="A23" s="220" t="s">
        <v>257</v>
      </c>
      <c r="B23" s="59">
        <v>15</v>
      </c>
      <c r="C23" s="60">
        <v>4</v>
      </c>
      <c r="D23" s="60">
        <v>2</v>
      </c>
      <c r="E23" s="60">
        <v>96</v>
      </c>
      <c r="F23" s="60">
        <v>5</v>
      </c>
      <c r="G23" s="60">
        <v>2</v>
      </c>
      <c r="H23" s="60">
        <v>8</v>
      </c>
      <c r="I23" s="61">
        <f t="shared" si="1"/>
        <v>104</v>
      </c>
      <c r="J23" s="62">
        <f t="shared" si="0"/>
        <v>472727.27272727265</v>
      </c>
      <c r="K23" s="63">
        <f t="shared" si="2"/>
        <v>5.6746106584765741</v>
      </c>
      <c r="L23" s="214">
        <f>IF(AND(I23&gt;29,I24&gt;29), AVERAGE(K23:K24),"")</f>
        <v>5.5977554188874112</v>
      </c>
      <c r="M23" s="216">
        <f>IF(AND(I23&gt;29,I24&gt;29),(K23-L23)^2,"")</f>
        <v>5.9067278523076243E-3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4</v>
      </c>
      <c r="D24" s="55">
        <v>2</v>
      </c>
      <c r="E24" s="55">
        <v>65</v>
      </c>
      <c r="F24" s="55">
        <v>5</v>
      </c>
      <c r="G24" s="55">
        <v>2</v>
      </c>
      <c r="H24" s="55">
        <v>8</v>
      </c>
      <c r="I24" s="64">
        <f t="shared" si="1"/>
        <v>73</v>
      </c>
      <c r="J24" s="57">
        <f t="shared" si="0"/>
        <v>331818.18181818182</v>
      </c>
      <c r="K24" s="58">
        <f t="shared" si="2"/>
        <v>5.5209001792982493</v>
      </c>
      <c r="L24" s="215"/>
      <c r="M24" s="217"/>
      <c r="N24" s="219"/>
    </row>
    <row r="25" spans="1:14" x14ac:dyDescent="0.25">
      <c r="A25" s="220" t="s">
        <v>258</v>
      </c>
      <c r="B25" s="59">
        <v>17</v>
      </c>
      <c r="C25" s="60">
        <v>5</v>
      </c>
      <c r="D25" s="60">
        <v>2</v>
      </c>
      <c r="E25" s="60">
        <v>37</v>
      </c>
      <c r="F25" s="60">
        <v>6</v>
      </c>
      <c r="G25" s="60">
        <v>2</v>
      </c>
      <c r="H25" s="60">
        <v>3</v>
      </c>
      <c r="I25" s="61">
        <f t="shared" si="1"/>
        <v>40</v>
      </c>
      <c r="J25" s="62">
        <f t="shared" si="0"/>
        <v>1818181.8181818179</v>
      </c>
      <c r="K25" s="63">
        <f t="shared" si="2"/>
        <v>6.2596373105057559</v>
      </c>
      <c r="L25" s="214">
        <f>IF(AND(I25&gt;29,I26&gt;29), AVERAGE(K25:K26),"")</f>
        <v>6.2042881617589112</v>
      </c>
      <c r="M25" s="216">
        <f>IF(AND(I25&gt;29,I26&gt;29),(K25-L25)^2,"")</f>
        <v>3.0635282670003414E-3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2</v>
      </c>
      <c r="E26" s="55">
        <v>29</v>
      </c>
      <c r="F26" s="55">
        <v>6</v>
      </c>
      <c r="G26" s="55">
        <v>2</v>
      </c>
      <c r="H26" s="55">
        <v>2</v>
      </c>
      <c r="I26" s="64">
        <f t="shared" si="1"/>
        <v>31</v>
      </c>
      <c r="J26" s="57">
        <f t="shared" si="0"/>
        <v>1409090.9090909089</v>
      </c>
      <c r="K26" s="58">
        <f t="shared" si="2"/>
        <v>6.1489390130120665</v>
      </c>
      <c r="L26" s="215"/>
      <c r="M26" s="217"/>
      <c r="N26" s="219"/>
    </row>
    <row r="27" spans="1:14" x14ac:dyDescent="0.25">
      <c r="A27" s="220" t="s">
        <v>259</v>
      </c>
      <c r="B27" s="49">
        <v>19</v>
      </c>
      <c r="C27" s="50">
        <v>5</v>
      </c>
      <c r="D27" s="50">
        <v>2</v>
      </c>
      <c r="E27" s="50">
        <v>45</v>
      </c>
      <c r="F27" s="50">
        <v>6</v>
      </c>
      <c r="G27" s="50">
        <v>2</v>
      </c>
      <c r="H27" s="50">
        <v>5</v>
      </c>
      <c r="I27" s="51">
        <f t="shared" si="1"/>
        <v>50</v>
      </c>
      <c r="J27" s="52">
        <f t="shared" si="0"/>
        <v>2272727.2727272725</v>
      </c>
      <c r="K27" s="53">
        <f t="shared" si="2"/>
        <v>6.3565473235138121</v>
      </c>
      <c r="L27" s="224">
        <f>IF(AND(I27&gt;29,I28&gt;29), AVERAGE(K27:K28),"")</f>
        <v>6.4032581660949299</v>
      </c>
      <c r="M27" s="216">
        <f>IF(AND(I27&gt;29,I28&gt;29),(K27-L27)^2,"")</f>
        <v>2.1819028146379672E-3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5</v>
      </c>
      <c r="D28" s="66">
        <v>2</v>
      </c>
      <c r="E28" s="66">
        <v>58</v>
      </c>
      <c r="F28" s="66">
        <v>6</v>
      </c>
      <c r="G28" s="66">
        <v>2</v>
      </c>
      <c r="H28" s="66">
        <v>4</v>
      </c>
      <c r="I28" s="67">
        <f t="shared" si="1"/>
        <v>62</v>
      </c>
      <c r="J28" s="68">
        <f t="shared" si="0"/>
        <v>2818181.8181818179</v>
      </c>
      <c r="K28" s="69">
        <f t="shared" si="2"/>
        <v>6.4499690086760477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4.4552247035433652E-2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8.9104494070867304E-2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9.4395176821099977E-2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B3:D3"/>
    <mergeCell ref="B4:D4"/>
    <mergeCell ref="F4:I4"/>
    <mergeCell ref="B5:D5"/>
    <mergeCell ref="B6:D6"/>
    <mergeCell ref="L9:L10"/>
    <mergeCell ref="M9:M10"/>
    <mergeCell ref="N9:N10"/>
    <mergeCell ref="A11:A12"/>
    <mergeCell ref="L11:L12"/>
    <mergeCell ref="M11:M12"/>
    <mergeCell ref="N11:N12"/>
    <mergeCell ref="A9:A10"/>
    <mergeCell ref="A13:A14"/>
    <mergeCell ref="L13:L14"/>
    <mergeCell ref="M13:M14"/>
    <mergeCell ref="N13:N14"/>
    <mergeCell ref="A15:A16"/>
    <mergeCell ref="L15:L16"/>
    <mergeCell ref="M15:M16"/>
    <mergeCell ref="N15:N16"/>
    <mergeCell ref="A17:A18"/>
    <mergeCell ref="L17:L18"/>
    <mergeCell ref="M17:M18"/>
    <mergeCell ref="N17:N18"/>
    <mergeCell ref="A19:A20"/>
    <mergeCell ref="L19:L20"/>
    <mergeCell ref="M19:M20"/>
    <mergeCell ref="N19:N20"/>
    <mergeCell ref="A21:A22"/>
    <mergeCell ref="L21:L22"/>
    <mergeCell ref="M21:M22"/>
    <mergeCell ref="N21:N22"/>
    <mergeCell ref="A23:A24"/>
    <mergeCell ref="L23:L24"/>
    <mergeCell ref="M23:M24"/>
    <mergeCell ref="N23:N24"/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</mergeCells>
  <conditionalFormatting sqref="I9:I28">
    <cfRule type="cellIs" dxfId="4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.109375" style="38" customWidth="1"/>
    <col min="13" max="13" width="25.5546875" style="38" customWidth="1"/>
    <col min="14" max="14" width="20.664062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249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165</v>
      </c>
      <c r="C4" s="208"/>
      <c r="D4" s="209"/>
      <c r="F4" s="210" t="s">
        <v>393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250</v>
      </c>
      <c r="B9" s="49">
        <v>1</v>
      </c>
      <c r="C9" s="50">
        <v>2</v>
      </c>
      <c r="D9" s="50">
        <v>2</v>
      </c>
      <c r="E9" s="50">
        <v>114</v>
      </c>
      <c r="F9" s="50">
        <v>3</v>
      </c>
      <c r="G9" s="50">
        <v>2</v>
      </c>
      <c r="H9" s="50">
        <v>14</v>
      </c>
      <c r="I9" s="51">
        <f>H9+E9</f>
        <v>128</v>
      </c>
      <c r="J9" s="52">
        <f t="shared" ref="J9:J28" si="0">IF(I9&gt;29,I9/(D9+0.1*G9)*10^(C9),"")</f>
        <v>5818.181818181818</v>
      </c>
      <c r="K9" s="53">
        <f>IF(I9&gt;29,LOG10(J9),"")</f>
        <v>3.7647872888256622</v>
      </c>
      <c r="L9" s="214">
        <f>IF(AND(I9&gt;29,I10&gt;29), AVERAGE(K9:K10),"")</f>
        <v>3.7176009163543142</v>
      </c>
      <c r="M9" s="216">
        <f>IF(AND(I9&gt;29,I10&gt;29),(K9-L9)^2,"")</f>
        <v>2.2265537470047823E-3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2</v>
      </c>
      <c r="D10" s="55">
        <v>2</v>
      </c>
      <c r="E10" s="55">
        <v>98</v>
      </c>
      <c r="F10" s="55">
        <v>3</v>
      </c>
      <c r="G10" s="55">
        <v>2</v>
      </c>
      <c r="H10" s="55">
        <v>5</v>
      </c>
      <c r="I10" s="56">
        <f t="shared" ref="I10:I28" si="1">H10+E10</f>
        <v>103</v>
      </c>
      <c r="J10" s="57">
        <f>IF(I10&gt;29,I10/(D10+0.1*G10)*10^(C10),"")</f>
        <v>4681.8181818181811</v>
      </c>
      <c r="K10" s="58">
        <f>IF(I10&gt;29,LOG10(J10),"")</f>
        <v>3.6704145438829658</v>
      </c>
      <c r="L10" s="215"/>
      <c r="M10" s="217"/>
      <c r="N10" s="219"/>
    </row>
    <row r="11" spans="1:14" x14ac:dyDescent="0.25">
      <c r="A11" s="257" t="s">
        <v>251</v>
      </c>
      <c r="B11" s="59">
        <v>3</v>
      </c>
      <c r="C11" s="60">
        <v>3</v>
      </c>
      <c r="D11" s="60">
        <v>2</v>
      </c>
      <c r="E11" s="60">
        <v>47</v>
      </c>
      <c r="F11" s="60">
        <v>4</v>
      </c>
      <c r="G11" s="60">
        <v>2</v>
      </c>
      <c r="H11" s="60">
        <v>3</v>
      </c>
      <c r="I11" s="61">
        <f t="shared" si="1"/>
        <v>50</v>
      </c>
      <c r="J11" s="62">
        <f t="shared" si="0"/>
        <v>22727.272727272728</v>
      </c>
      <c r="K11" s="63">
        <f t="shared" ref="K11:K28" si="2">IF(I11&gt;29,LOG10(J11),"")</f>
        <v>4.356547323513813</v>
      </c>
      <c r="L11" s="214">
        <f>IF(AND(I11&gt;29,I12&gt;29), AVERAGE(K11:K12),"")</f>
        <v>4.3887763181272721</v>
      </c>
      <c r="M11" s="216">
        <f>IF(AND(I11&gt;29,I12&gt;29),(K11-L11)^2,"")</f>
        <v>1.0387080937943739E-3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3</v>
      </c>
      <c r="D12" s="50">
        <v>2</v>
      </c>
      <c r="E12" s="50">
        <v>53</v>
      </c>
      <c r="F12" s="50">
        <v>4</v>
      </c>
      <c r="G12" s="50">
        <v>2</v>
      </c>
      <c r="H12" s="50">
        <v>5</v>
      </c>
      <c r="I12" s="64">
        <f t="shared" si="1"/>
        <v>58</v>
      </c>
      <c r="J12" s="57">
        <f t="shared" si="0"/>
        <v>26363.63636363636</v>
      </c>
      <c r="K12" s="58">
        <f t="shared" si="2"/>
        <v>4.4210053127407312</v>
      </c>
      <c r="L12" s="215"/>
      <c r="M12" s="217"/>
      <c r="N12" s="219"/>
    </row>
    <row r="13" spans="1:14" x14ac:dyDescent="0.25">
      <c r="A13" s="220" t="s">
        <v>252</v>
      </c>
      <c r="B13" s="59">
        <v>5</v>
      </c>
      <c r="C13" s="60">
        <v>3</v>
      </c>
      <c r="D13" s="60">
        <v>2</v>
      </c>
      <c r="E13" s="60">
        <v>51</v>
      </c>
      <c r="F13" s="60">
        <v>4</v>
      </c>
      <c r="G13" s="60">
        <v>2</v>
      </c>
      <c r="H13" s="60">
        <v>6</v>
      </c>
      <c r="I13" s="61">
        <f t="shared" si="1"/>
        <v>57</v>
      </c>
      <c r="J13" s="62">
        <f t="shared" si="0"/>
        <v>25909.090909090908</v>
      </c>
      <c r="K13" s="63">
        <f t="shared" si="2"/>
        <v>4.4134521748502848</v>
      </c>
      <c r="L13" s="214">
        <f>IF(AND(I13&gt;29,I14&gt;29), AVERAGE(K13:K14),"")</f>
        <v>4.3466464357221639</v>
      </c>
      <c r="M13" s="216">
        <f>IF(AND(I13&gt;29,I14&gt;29),(K13-L13)^2,"")</f>
        <v>4.4630067804545485E-3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3</v>
      </c>
      <c r="D14" s="55">
        <v>2</v>
      </c>
      <c r="E14" s="55">
        <v>39</v>
      </c>
      <c r="F14" s="55">
        <v>4</v>
      </c>
      <c r="G14" s="55">
        <v>1</v>
      </c>
      <c r="H14" s="55">
        <v>1</v>
      </c>
      <c r="I14" s="64">
        <f t="shared" si="1"/>
        <v>40</v>
      </c>
      <c r="J14" s="57">
        <f t="shared" si="0"/>
        <v>19047.619047619046</v>
      </c>
      <c r="K14" s="58">
        <f t="shared" si="2"/>
        <v>4.279840696594043</v>
      </c>
      <c r="L14" s="215"/>
      <c r="M14" s="217"/>
      <c r="N14" s="219"/>
    </row>
    <row r="15" spans="1:14" x14ac:dyDescent="0.25">
      <c r="A15" s="220" t="s">
        <v>260</v>
      </c>
      <c r="B15" s="59">
        <v>7</v>
      </c>
      <c r="C15" s="60">
        <v>3</v>
      </c>
      <c r="D15" s="60">
        <v>2</v>
      </c>
      <c r="E15" s="60">
        <v>32</v>
      </c>
      <c r="F15" s="60">
        <v>4</v>
      </c>
      <c r="G15" s="60">
        <v>2</v>
      </c>
      <c r="H15" s="60">
        <v>6</v>
      </c>
      <c r="I15" s="61">
        <f t="shared" si="1"/>
        <v>38</v>
      </c>
      <c r="J15" s="62">
        <f t="shared" si="0"/>
        <v>17272.727272727268</v>
      </c>
      <c r="K15" s="63">
        <f t="shared" si="2"/>
        <v>4.2373609157946035</v>
      </c>
      <c r="L15" s="214">
        <f>IF(AND(I15&gt;29,I16&gt;29), AVERAGE(K15:K16),"")</f>
        <v>4.2788480333269856</v>
      </c>
      <c r="M15" s="216">
        <f>IF(AND(I15&gt;29,I16&gt;29),(K15-L15)^2,"")</f>
        <v>1.7211809211456863E-3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3</v>
      </c>
      <c r="D16" s="55">
        <v>2</v>
      </c>
      <c r="E16" s="55">
        <v>39</v>
      </c>
      <c r="F16" s="55">
        <v>4</v>
      </c>
      <c r="G16" s="55">
        <v>2</v>
      </c>
      <c r="H16" s="55">
        <v>7</v>
      </c>
      <c r="I16" s="64">
        <f t="shared" si="1"/>
        <v>46</v>
      </c>
      <c r="J16" s="57">
        <f t="shared" si="0"/>
        <v>20909.090909090908</v>
      </c>
      <c r="K16" s="58">
        <f t="shared" si="2"/>
        <v>4.3203351508593677</v>
      </c>
      <c r="L16" s="215"/>
      <c r="M16" s="217"/>
      <c r="N16" s="219"/>
    </row>
    <row r="17" spans="1:14" x14ac:dyDescent="0.25">
      <c r="A17" s="220" t="s">
        <v>254</v>
      </c>
      <c r="B17" s="59">
        <v>9</v>
      </c>
      <c r="C17" s="60">
        <v>3</v>
      </c>
      <c r="D17" s="60">
        <v>2</v>
      </c>
      <c r="E17" s="60">
        <v>48</v>
      </c>
      <c r="F17" s="60">
        <v>4</v>
      </c>
      <c r="G17" s="60">
        <v>2</v>
      </c>
      <c r="H17" s="60">
        <v>5</v>
      </c>
      <c r="I17" s="61">
        <f t="shared" si="1"/>
        <v>53</v>
      </c>
      <c r="J17" s="62">
        <f t="shared" si="0"/>
        <v>24090.909090909088</v>
      </c>
      <c r="K17" s="63">
        <f t="shared" si="2"/>
        <v>4.3818531887785825</v>
      </c>
      <c r="L17" s="214">
        <f>IF(AND(I17&gt;29,I18&gt;29), AVERAGE(K17:K18),"")</f>
        <v>4.3878186188397308</v>
      </c>
      <c r="M17" s="216">
        <f>IF(AND(I17&gt;29,I18&gt;29),(K17-L17)^2,"")</f>
        <v>3.558635581445118E-5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3</v>
      </c>
      <c r="D18" s="55">
        <v>2</v>
      </c>
      <c r="E18" s="55">
        <v>51</v>
      </c>
      <c r="F18" s="55">
        <v>4</v>
      </c>
      <c r="G18" s="55">
        <v>1</v>
      </c>
      <c r="H18" s="55">
        <v>1</v>
      </c>
      <c r="I18" s="64">
        <f t="shared" si="1"/>
        <v>52</v>
      </c>
      <c r="J18" s="57">
        <f t="shared" si="0"/>
        <v>24761.90476190476</v>
      </c>
      <c r="K18" s="58">
        <f t="shared" si="2"/>
        <v>4.3937840489008799</v>
      </c>
      <c r="L18" s="215"/>
      <c r="M18" s="217"/>
      <c r="N18" s="219"/>
    </row>
    <row r="19" spans="1:14" x14ac:dyDescent="0.25">
      <c r="A19" s="220" t="s">
        <v>255</v>
      </c>
      <c r="B19" s="59">
        <v>11</v>
      </c>
      <c r="C19" s="60">
        <v>3</v>
      </c>
      <c r="D19" s="60">
        <v>2</v>
      </c>
      <c r="E19" s="60">
        <v>46</v>
      </c>
      <c r="F19" s="60">
        <v>4</v>
      </c>
      <c r="G19" s="60">
        <v>2</v>
      </c>
      <c r="H19" s="60">
        <v>3</v>
      </c>
      <c r="I19" s="61">
        <f t="shared" si="1"/>
        <v>49</v>
      </c>
      <c r="J19" s="62">
        <f t="shared" si="0"/>
        <v>22272.727272727268</v>
      </c>
      <c r="K19" s="63">
        <f t="shared" si="2"/>
        <v>4.3477733992063072</v>
      </c>
      <c r="L19" s="214">
        <f>IF(AND(I19&gt;29,I20&gt;29), AVERAGE(K19:K20),"")</f>
        <v>4.2483562061091869</v>
      </c>
      <c r="M19" s="216">
        <f>IF(AND(I19&gt;29,I20&gt;29),(K19-L19)^2,"")</f>
        <v>9.8837782833101212E-3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3</v>
      </c>
      <c r="D20" s="55">
        <v>2</v>
      </c>
      <c r="E20" s="55">
        <v>26</v>
      </c>
      <c r="F20" s="55">
        <v>4</v>
      </c>
      <c r="G20" s="55">
        <v>2</v>
      </c>
      <c r="H20" s="55">
        <v>5</v>
      </c>
      <c r="I20" s="64">
        <f t="shared" si="1"/>
        <v>31</v>
      </c>
      <c r="J20" s="57">
        <f t="shared" si="0"/>
        <v>14090.90909090909</v>
      </c>
      <c r="K20" s="58">
        <f t="shared" si="2"/>
        <v>4.1489390130120665</v>
      </c>
      <c r="L20" s="215"/>
      <c r="M20" s="217"/>
      <c r="N20" s="219"/>
    </row>
    <row r="21" spans="1:14" x14ac:dyDescent="0.25">
      <c r="A21" s="220" t="s">
        <v>261</v>
      </c>
      <c r="B21" s="59">
        <v>13</v>
      </c>
      <c r="C21" s="60">
        <v>3</v>
      </c>
      <c r="D21" s="60">
        <v>2</v>
      </c>
      <c r="E21" s="60">
        <v>44</v>
      </c>
      <c r="F21" s="60">
        <v>4</v>
      </c>
      <c r="G21" s="60">
        <v>2</v>
      </c>
      <c r="H21" s="60">
        <v>4</v>
      </c>
      <c r="I21" s="61">
        <f t="shared" si="1"/>
        <v>48</v>
      </c>
      <c r="J21" s="62">
        <f t="shared" si="0"/>
        <v>21818.181818181816</v>
      </c>
      <c r="K21" s="63">
        <f t="shared" si="2"/>
        <v>4.338818556553381</v>
      </c>
      <c r="L21" s="214">
        <f>IF(AND(I21&gt;29,I22&gt;29), AVERAGE(K21:K22),"")</f>
        <v>4.270231960040725</v>
      </c>
      <c r="M21" s="216">
        <f>IF(AND(I21&gt;29,I22&gt;29),(K21-L21)^2,"")</f>
        <v>4.7041212211898723E-3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3</v>
      </c>
      <c r="D22" s="55">
        <v>2</v>
      </c>
      <c r="E22" s="55">
        <v>30</v>
      </c>
      <c r="F22" s="55">
        <v>4</v>
      </c>
      <c r="G22" s="55">
        <v>2</v>
      </c>
      <c r="H22" s="55">
        <v>5</v>
      </c>
      <c r="I22" s="64">
        <f t="shared" si="1"/>
        <v>35</v>
      </c>
      <c r="J22" s="57">
        <f t="shared" si="0"/>
        <v>15909.090909090908</v>
      </c>
      <c r="K22" s="58">
        <f t="shared" si="2"/>
        <v>4.2016453635280691</v>
      </c>
      <c r="L22" s="215"/>
      <c r="M22" s="217"/>
      <c r="N22" s="219"/>
    </row>
    <row r="23" spans="1:14" x14ac:dyDescent="0.25">
      <c r="A23" s="220" t="s">
        <v>257</v>
      </c>
      <c r="B23" s="59">
        <v>15</v>
      </c>
      <c r="C23" s="60">
        <v>3</v>
      </c>
      <c r="D23" s="60">
        <v>2</v>
      </c>
      <c r="E23" s="60">
        <v>36</v>
      </c>
      <c r="F23" s="60">
        <v>4</v>
      </c>
      <c r="G23" s="60">
        <v>2</v>
      </c>
      <c r="H23" s="60">
        <v>5</v>
      </c>
      <c r="I23" s="61">
        <f t="shared" si="1"/>
        <v>41</v>
      </c>
      <c r="J23" s="62">
        <f t="shared" si="0"/>
        <v>18636.363636363632</v>
      </c>
      <c r="K23" s="63">
        <f t="shared" si="2"/>
        <v>4.2703611758975288</v>
      </c>
      <c r="L23" s="214">
        <f>IF(AND(I23&gt;29,I24&gt;29), AVERAGE(K23:K24),"")</f>
        <v>4.353044872729483</v>
      </c>
      <c r="M23" s="216">
        <f>IF(AND(I23&gt;29,I24&gt;29),(K23-L23)^2,"")</f>
        <v>6.8365937217985135E-3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3</v>
      </c>
      <c r="D24" s="55">
        <v>2</v>
      </c>
      <c r="E24" s="55">
        <v>55</v>
      </c>
      <c r="F24" s="55">
        <v>4</v>
      </c>
      <c r="G24" s="55">
        <v>2</v>
      </c>
      <c r="H24" s="55">
        <v>5</v>
      </c>
      <c r="I24" s="64">
        <f t="shared" si="1"/>
        <v>60</v>
      </c>
      <c r="J24" s="57">
        <f t="shared" si="0"/>
        <v>27272.727272727268</v>
      </c>
      <c r="K24" s="58">
        <f t="shared" si="2"/>
        <v>4.4357285695614372</v>
      </c>
      <c r="L24" s="215"/>
      <c r="M24" s="217"/>
      <c r="N24" s="219"/>
    </row>
    <row r="25" spans="1:14" x14ac:dyDescent="0.25">
      <c r="A25" s="220" t="s">
        <v>258</v>
      </c>
      <c r="B25" s="59">
        <v>17</v>
      </c>
      <c r="C25" s="60">
        <v>3</v>
      </c>
      <c r="D25" s="60">
        <v>2</v>
      </c>
      <c r="E25" s="60">
        <v>36</v>
      </c>
      <c r="F25" s="60">
        <v>4</v>
      </c>
      <c r="G25" s="60">
        <v>2</v>
      </c>
      <c r="H25" s="60">
        <v>5</v>
      </c>
      <c r="I25" s="61">
        <f t="shared" si="1"/>
        <v>41</v>
      </c>
      <c r="J25" s="62">
        <f t="shared" si="0"/>
        <v>18636.363636363632</v>
      </c>
      <c r="K25" s="63">
        <f t="shared" si="2"/>
        <v>4.2703611758975288</v>
      </c>
      <c r="L25" s="214">
        <f>IF(AND(I25&gt;29,I26&gt;29), AVERAGE(K25:K26),"")</f>
        <v>4.3146915592695985</v>
      </c>
      <c r="M25" s="216">
        <f>IF(AND(I25&gt;29,I26&gt;29),(K25-L25)^2,"")</f>
        <v>1.9651828899146673E-3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3</v>
      </c>
      <c r="D26" s="55">
        <v>2</v>
      </c>
      <c r="E26" s="55">
        <v>45</v>
      </c>
      <c r="F26" s="55">
        <v>4</v>
      </c>
      <c r="G26" s="55">
        <v>1</v>
      </c>
      <c r="H26" s="55">
        <v>3</v>
      </c>
      <c r="I26" s="64">
        <f t="shared" si="1"/>
        <v>48</v>
      </c>
      <c r="J26" s="57">
        <f t="shared" si="0"/>
        <v>22857.142857142859</v>
      </c>
      <c r="K26" s="58">
        <f t="shared" si="2"/>
        <v>4.3590219426416681</v>
      </c>
      <c r="L26" s="215"/>
      <c r="M26" s="217"/>
      <c r="N26" s="219"/>
    </row>
    <row r="27" spans="1:14" x14ac:dyDescent="0.25">
      <c r="A27" s="220" t="s">
        <v>259</v>
      </c>
      <c r="B27" s="49">
        <v>19</v>
      </c>
      <c r="C27" s="50">
        <v>3</v>
      </c>
      <c r="D27" s="50">
        <v>2</v>
      </c>
      <c r="E27" s="50">
        <v>29</v>
      </c>
      <c r="F27" s="50">
        <v>4</v>
      </c>
      <c r="G27" s="50">
        <v>2</v>
      </c>
      <c r="H27" s="50">
        <v>6</v>
      </c>
      <c r="I27" s="51">
        <f t="shared" si="1"/>
        <v>35</v>
      </c>
      <c r="J27" s="52">
        <f t="shared" si="0"/>
        <v>15909.090909090908</v>
      </c>
      <c r="K27" s="53">
        <f t="shared" si="2"/>
        <v>4.2016453635280691</v>
      </c>
      <c r="L27" s="224">
        <f>IF(AND(I27&gt;29,I28&gt;29), AVERAGE(K27:K28),"")</f>
        <v>4.2656602703207902</v>
      </c>
      <c r="M27" s="216">
        <f>IF(AND(I27&gt;29,I28&gt;29),(K27-L27)^2,"")</f>
        <v>4.0979082916807767E-3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3</v>
      </c>
      <c r="D28" s="66">
        <v>2</v>
      </c>
      <c r="E28" s="66">
        <v>42</v>
      </c>
      <c r="F28" s="66">
        <v>4</v>
      </c>
      <c r="G28" s="66">
        <v>2</v>
      </c>
      <c r="H28" s="66">
        <v>5</v>
      </c>
      <c r="I28" s="67">
        <f t="shared" si="1"/>
        <v>47</v>
      </c>
      <c r="J28" s="68">
        <f t="shared" si="0"/>
        <v>21363.636363636364</v>
      </c>
      <c r="K28" s="69">
        <f t="shared" si="2"/>
        <v>4.3296751771135114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3.697262030610779E-2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7.3945240612215579E-2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8.5991418532441702E-2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B3:D3"/>
    <mergeCell ref="B4:D4"/>
    <mergeCell ref="F4:I4"/>
    <mergeCell ref="B5:D5"/>
    <mergeCell ref="B6:D6"/>
    <mergeCell ref="L9:L10"/>
    <mergeCell ref="M9:M10"/>
    <mergeCell ref="N9:N10"/>
    <mergeCell ref="A11:A12"/>
    <mergeCell ref="L11:L12"/>
    <mergeCell ref="M11:M12"/>
    <mergeCell ref="N11:N12"/>
    <mergeCell ref="A9:A10"/>
    <mergeCell ref="A13:A14"/>
    <mergeCell ref="L13:L14"/>
    <mergeCell ref="M13:M14"/>
    <mergeCell ref="N13:N14"/>
    <mergeCell ref="A15:A16"/>
    <mergeCell ref="L15:L16"/>
    <mergeCell ref="M15:M16"/>
    <mergeCell ref="N15:N16"/>
    <mergeCell ref="A17:A18"/>
    <mergeCell ref="L17:L18"/>
    <mergeCell ref="M17:M18"/>
    <mergeCell ref="N17:N18"/>
    <mergeCell ref="A19:A20"/>
    <mergeCell ref="L19:L20"/>
    <mergeCell ref="M19:M20"/>
    <mergeCell ref="N19:N20"/>
    <mergeCell ref="A21:A22"/>
    <mergeCell ref="L21:L22"/>
    <mergeCell ref="M21:M22"/>
    <mergeCell ref="N21:N22"/>
    <mergeCell ref="A23:A24"/>
    <mergeCell ref="L23:L24"/>
    <mergeCell ref="M23:M24"/>
    <mergeCell ref="N23:N24"/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</mergeCells>
  <conditionalFormatting sqref="I9:I28">
    <cfRule type="cellIs" dxfId="3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O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" style="38" customWidth="1"/>
    <col min="13" max="13" width="24.33203125" style="38" customWidth="1"/>
    <col min="14" max="14" width="19.886718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249</v>
      </c>
      <c r="C3" s="208"/>
      <c r="D3" s="209"/>
      <c r="F3" s="38" t="s">
        <v>116</v>
      </c>
    </row>
    <row r="4" spans="1:14" x14ac:dyDescent="0.25">
      <c r="A4" s="1" t="s">
        <v>92</v>
      </c>
      <c r="B4" s="253" t="s">
        <v>240</v>
      </c>
      <c r="C4" s="208"/>
      <c r="D4" s="209"/>
      <c r="F4" s="210"/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250</v>
      </c>
      <c r="B9" s="49">
        <v>1</v>
      </c>
      <c r="C9" s="50">
        <v>2</v>
      </c>
      <c r="D9" s="50">
        <v>2</v>
      </c>
      <c r="E9" s="50">
        <v>80</v>
      </c>
      <c r="F9" s="50">
        <v>3</v>
      </c>
      <c r="G9" s="50">
        <v>2</v>
      </c>
      <c r="H9" s="50">
        <v>13</v>
      </c>
      <c r="I9" s="51">
        <f>H9+E9</f>
        <v>93</v>
      </c>
      <c r="J9" s="52">
        <f t="shared" ref="J9:J28" si="0">IF(I9&gt;29,I9/(D9+0.1*G9)*10^(C9),"")</f>
        <v>4227.272727272727</v>
      </c>
      <c r="K9" s="53">
        <f>IF(I9&gt;29,LOG10(J9),"")</f>
        <v>3.6260602677317291</v>
      </c>
      <c r="L9" s="214">
        <f>IF(AND(I9&gt;29,I10&gt;29), AVERAGE(K9:K10),"")</f>
        <v>3.4869168334690182</v>
      </c>
      <c r="M9" s="216">
        <f>IF(AND(I9&gt;29,I10&gt;29),(K9-L9)^2,"")</f>
        <v>1.9360895298421357E-2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2</v>
      </c>
      <c r="D10" s="55">
        <v>2</v>
      </c>
      <c r="E10" s="55">
        <v>43</v>
      </c>
      <c r="F10" s="55">
        <v>3</v>
      </c>
      <c r="G10" s="55">
        <v>2</v>
      </c>
      <c r="H10" s="55">
        <v>6</v>
      </c>
      <c r="I10" s="56">
        <f t="shared" ref="I10:I28" si="1">H10+E10</f>
        <v>49</v>
      </c>
      <c r="J10" s="57">
        <f>IF(I10&gt;29,I10/(D10+0.1*G10)*10^(C10),"")</f>
        <v>2227.272727272727</v>
      </c>
      <c r="K10" s="58">
        <f>IF(I10&gt;29,LOG10(J10),"")</f>
        <v>3.3477733992063072</v>
      </c>
      <c r="L10" s="215"/>
      <c r="M10" s="217"/>
      <c r="N10" s="219"/>
    </row>
    <row r="11" spans="1:14" x14ac:dyDescent="0.25">
      <c r="A11" s="257" t="s">
        <v>251</v>
      </c>
      <c r="B11" s="59">
        <v>3</v>
      </c>
      <c r="C11" s="60">
        <v>3</v>
      </c>
      <c r="D11" s="60">
        <v>2</v>
      </c>
      <c r="E11" s="60">
        <v>33</v>
      </c>
      <c r="F11" s="60">
        <v>4</v>
      </c>
      <c r="G11" s="60">
        <v>2</v>
      </c>
      <c r="H11" s="60">
        <v>2</v>
      </c>
      <c r="I11" s="61">
        <f t="shared" si="1"/>
        <v>35</v>
      </c>
      <c r="J11" s="62">
        <f t="shared" si="0"/>
        <v>15909.090909090908</v>
      </c>
      <c r="K11" s="63">
        <f t="shared" ref="K11:K28" si="2">IF(I11&gt;29,LOG10(J11),"")</f>
        <v>4.2016453635280691</v>
      </c>
      <c r="L11" s="214">
        <f>IF(AND(I11&gt;29,I12&gt;29), AVERAGE(K11:K12),"")</f>
        <v>4.2934981224460431</v>
      </c>
      <c r="M11" s="216">
        <f>IF(AND(I11&gt;29,I12&gt;29),(K11-L11)^2,"")</f>
        <v>8.4369293208434639E-3</v>
      </c>
      <c r="N11" s="218">
        <f>IF(AND(I11&gt;29,I12&gt;29),COUNT(K11:K12)-1,"")</f>
        <v>1</v>
      </c>
    </row>
    <row r="12" spans="1:14" x14ac:dyDescent="0.25">
      <c r="A12" s="258"/>
      <c r="B12" s="54">
        <v>4</v>
      </c>
      <c r="C12" s="50">
        <v>3</v>
      </c>
      <c r="D12" s="50">
        <v>2</v>
      </c>
      <c r="E12" s="50">
        <v>50</v>
      </c>
      <c r="F12" s="50">
        <v>4</v>
      </c>
      <c r="G12" s="50">
        <v>1</v>
      </c>
      <c r="H12" s="50">
        <v>1</v>
      </c>
      <c r="I12" s="64">
        <f t="shared" si="1"/>
        <v>51</v>
      </c>
      <c r="J12" s="57">
        <f t="shared" si="0"/>
        <v>24285.714285714286</v>
      </c>
      <c r="K12" s="58">
        <f t="shared" si="2"/>
        <v>4.3853508813640172</v>
      </c>
      <c r="L12" s="215"/>
      <c r="M12" s="217"/>
      <c r="N12" s="219"/>
    </row>
    <row r="13" spans="1:14" x14ac:dyDescent="0.25">
      <c r="A13" s="220" t="s">
        <v>252</v>
      </c>
      <c r="B13" s="59">
        <v>5</v>
      </c>
      <c r="C13" s="60">
        <v>3</v>
      </c>
      <c r="D13" s="60">
        <v>2</v>
      </c>
      <c r="E13" s="60">
        <v>72</v>
      </c>
      <c r="F13" s="60">
        <v>4</v>
      </c>
      <c r="G13" s="60">
        <v>2</v>
      </c>
      <c r="H13" s="60">
        <v>6</v>
      </c>
      <c r="I13" s="61">
        <f t="shared" si="1"/>
        <v>78</v>
      </c>
      <c r="J13" s="62">
        <f t="shared" si="0"/>
        <v>35454.545454545456</v>
      </c>
      <c r="K13" s="63">
        <f t="shared" si="2"/>
        <v>4.5496719218682742</v>
      </c>
      <c r="L13" s="214">
        <f>IF(AND(I13&gt;29,I14&gt;29), AVERAGE(K13:K14),"")</f>
        <v>4.4657625553234279</v>
      </c>
      <c r="M13" s="216">
        <f>IF(AND(I13&gt;29,I14&gt;29),(K13-L13)^2,"")</f>
        <v>7.0407817939573654E-3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3</v>
      </c>
      <c r="D14" s="55">
        <v>2</v>
      </c>
      <c r="E14" s="55">
        <v>45</v>
      </c>
      <c r="F14" s="55">
        <v>4</v>
      </c>
      <c r="G14" s="55">
        <v>2</v>
      </c>
      <c r="H14" s="55">
        <v>8</v>
      </c>
      <c r="I14" s="64">
        <f t="shared" si="1"/>
        <v>53</v>
      </c>
      <c r="J14" s="57">
        <f t="shared" si="0"/>
        <v>24090.909090909088</v>
      </c>
      <c r="K14" s="58">
        <f t="shared" si="2"/>
        <v>4.3818531887785825</v>
      </c>
      <c r="L14" s="215"/>
      <c r="M14" s="217"/>
      <c r="N14" s="219"/>
    </row>
    <row r="15" spans="1:14" x14ac:dyDescent="0.25">
      <c r="A15" s="220" t="s">
        <v>260</v>
      </c>
      <c r="B15" s="59">
        <v>7</v>
      </c>
      <c r="C15" s="60">
        <v>3</v>
      </c>
      <c r="D15" s="60">
        <v>2</v>
      </c>
      <c r="E15" s="60">
        <v>104</v>
      </c>
      <c r="F15" s="60">
        <v>4</v>
      </c>
      <c r="G15" s="60">
        <v>2</v>
      </c>
      <c r="H15" s="60">
        <v>11</v>
      </c>
      <c r="I15" s="61">
        <f t="shared" si="1"/>
        <v>115</v>
      </c>
      <c r="J15" s="62">
        <f t="shared" si="0"/>
        <v>52272.727272727265</v>
      </c>
      <c r="K15" s="63">
        <f t="shared" si="2"/>
        <v>4.7182751595314052</v>
      </c>
      <c r="L15" s="214">
        <f>IF(AND(I15&gt;29,I16&gt;29), AVERAGE(K15:K16),"")</f>
        <v>4.6627373952558893</v>
      </c>
      <c r="M15" s="216">
        <f>IF(AND(I15&gt;29,I16&gt;29),(K15-L15)^2,"")</f>
        <v>3.0844432607227737E-3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3</v>
      </c>
      <c r="D16" s="55">
        <v>2</v>
      </c>
      <c r="E16" s="55">
        <v>84</v>
      </c>
      <c r="F16" s="55">
        <v>4</v>
      </c>
      <c r="G16" s="55">
        <v>1</v>
      </c>
      <c r="H16" s="55">
        <v>1</v>
      </c>
      <c r="I16" s="64">
        <f t="shared" si="1"/>
        <v>85</v>
      </c>
      <c r="J16" s="57">
        <f t="shared" si="0"/>
        <v>40476.190476190473</v>
      </c>
      <c r="K16" s="58">
        <f t="shared" si="2"/>
        <v>4.6071996309803733</v>
      </c>
      <c r="L16" s="215"/>
      <c r="M16" s="217"/>
      <c r="N16" s="219"/>
    </row>
    <row r="17" spans="1:14" x14ac:dyDescent="0.25">
      <c r="A17" s="220" t="s">
        <v>254</v>
      </c>
      <c r="B17" s="59">
        <v>9</v>
      </c>
      <c r="C17" s="60">
        <v>3</v>
      </c>
      <c r="D17" s="60">
        <v>2</v>
      </c>
      <c r="E17" s="60">
        <v>41</v>
      </c>
      <c r="F17" s="60">
        <v>4</v>
      </c>
      <c r="G17" s="60">
        <v>2</v>
      </c>
      <c r="H17" s="60">
        <v>7</v>
      </c>
      <c r="I17" s="61">
        <f t="shared" si="1"/>
        <v>48</v>
      </c>
      <c r="J17" s="62">
        <f t="shared" si="0"/>
        <v>21818.181818181816</v>
      </c>
      <c r="K17" s="63">
        <f t="shared" si="2"/>
        <v>4.338818556553381</v>
      </c>
      <c r="L17" s="214">
        <f>IF(AND(I17&gt;29,I18&gt;29), AVERAGE(K17:K18),"")</f>
        <v>4.2507729270255403</v>
      </c>
      <c r="M17" s="216">
        <f>IF(AND(I17&gt;29,I18&gt;29),(K17-L17)^2,"")</f>
        <v>7.7520328789537699E-3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3</v>
      </c>
      <c r="D18" s="55">
        <v>2</v>
      </c>
      <c r="E18" s="55">
        <v>22</v>
      </c>
      <c r="F18" s="55">
        <v>4</v>
      </c>
      <c r="G18" s="55">
        <v>2</v>
      </c>
      <c r="H18" s="55">
        <v>10</v>
      </c>
      <c r="I18" s="64">
        <f t="shared" si="1"/>
        <v>32</v>
      </c>
      <c r="J18" s="57">
        <f t="shared" si="0"/>
        <v>14545.454545454544</v>
      </c>
      <c r="K18" s="58">
        <f t="shared" si="2"/>
        <v>4.1627272974976997</v>
      </c>
      <c r="L18" s="215"/>
      <c r="M18" s="217"/>
      <c r="N18" s="219"/>
    </row>
    <row r="19" spans="1:14" x14ac:dyDescent="0.25">
      <c r="A19" s="220" t="s">
        <v>255</v>
      </c>
      <c r="B19" s="59">
        <v>11</v>
      </c>
      <c r="C19" s="60">
        <v>3</v>
      </c>
      <c r="D19" s="60">
        <v>2</v>
      </c>
      <c r="E19" s="60">
        <v>42</v>
      </c>
      <c r="F19" s="60">
        <v>4</v>
      </c>
      <c r="G19" s="60">
        <v>2</v>
      </c>
      <c r="H19" s="60">
        <v>8</v>
      </c>
      <c r="I19" s="61">
        <f t="shared" si="1"/>
        <v>50</v>
      </c>
      <c r="J19" s="62">
        <f t="shared" si="0"/>
        <v>22727.272727272728</v>
      </c>
      <c r="K19" s="63">
        <f t="shared" si="2"/>
        <v>4.356547323513813</v>
      </c>
      <c r="L19" s="214">
        <f>IF(AND(I19&gt;29,I20&gt;29), AVERAGE(K19:K20),"")</f>
        <v>4.4586073148417746</v>
      </c>
      <c r="M19" s="216">
        <f>IF(AND(I19&gt;29,I20&gt;29),(K19-L19)^2,"")</f>
        <v>1.0416241829863601E-2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3</v>
      </c>
      <c r="D20" s="55">
        <v>2</v>
      </c>
      <c r="E20" s="55">
        <v>73</v>
      </c>
      <c r="F20" s="55">
        <v>4</v>
      </c>
      <c r="G20" s="55">
        <v>2</v>
      </c>
      <c r="H20" s="55">
        <v>7</v>
      </c>
      <c r="I20" s="64">
        <f t="shared" si="1"/>
        <v>80</v>
      </c>
      <c r="J20" s="57">
        <f t="shared" si="0"/>
        <v>36363.63636363636</v>
      </c>
      <c r="K20" s="58">
        <f t="shared" si="2"/>
        <v>4.5606673061697371</v>
      </c>
      <c r="L20" s="215"/>
      <c r="M20" s="217"/>
      <c r="N20" s="219"/>
    </row>
    <row r="21" spans="1:14" x14ac:dyDescent="0.25">
      <c r="A21" s="220" t="s">
        <v>262</v>
      </c>
      <c r="B21" s="59">
        <v>13</v>
      </c>
      <c r="C21" s="60">
        <v>4</v>
      </c>
      <c r="D21" s="60">
        <v>2</v>
      </c>
      <c r="E21" s="60">
        <v>55</v>
      </c>
      <c r="F21" s="60">
        <v>5</v>
      </c>
      <c r="G21" s="60">
        <v>2</v>
      </c>
      <c r="H21" s="60">
        <v>4</v>
      </c>
      <c r="I21" s="61">
        <f t="shared" si="1"/>
        <v>59</v>
      </c>
      <c r="J21" s="62">
        <f t="shared" si="0"/>
        <v>268181.81818181818</v>
      </c>
      <c r="K21" s="63">
        <f t="shared" si="2"/>
        <v>5.4284293308199381</v>
      </c>
      <c r="L21" s="214">
        <f>IF(AND(I21&gt;29,I22&gt;29), AVERAGE(K21:K22),"")</f>
        <v>5.4051412597992599</v>
      </c>
      <c r="M21" s="216">
        <f>IF(AND(I21&gt;29,I22&gt;29),(K21-L21)^2,"")</f>
        <v>5.4233425186415193E-4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4</v>
      </c>
      <c r="D22" s="55">
        <v>2</v>
      </c>
      <c r="E22" s="55">
        <v>50</v>
      </c>
      <c r="F22" s="55">
        <v>5</v>
      </c>
      <c r="G22" s="55">
        <v>2</v>
      </c>
      <c r="H22" s="55">
        <v>3</v>
      </c>
      <c r="I22" s="64">
        <f t="shared" si="1"/>
        <v>53</v>
      </c>
      <c r="J22" s="57">
        <f t="shared" si="0"/>
        <v>240909.09090909091</v>
      </c>
      <c r="K22" s="58">
        <f t="shared" si="2"/>
        <v>5.3818531887785825</v>
      </c>
      <c r="L22" s="215"/>
      <c r="M22" s="217"/>
      <c r="N22" s="219"/>
    </row>
    <row r="23" spans="1:14" x14ac:dyDescent="0.25">
      <c r="A23" s="220" t="s">
        <v>257</v>
      </c>
      <c r="B23" s="59">
        <v>15</v>
      </c>
      <c r="C23" s="60">
        <v>3</v>
      </c>
      <c r="D23" s="60">
        <v>2</v>
      </c>
      <c r="E23" s="60">
        <v>62</v>
      </c>
      <c r="F23" s="60">
        <v>4</v>
      </c>
      <c r="G23" s="60">
        <v>2</v>
      </c>
      <c r="H23" s="60">
        <v>15</v>
      </c>
      <c r="I23" s="61">
        <f t="shared" si="1"/>
        <v>77</v>
      </c>
      <c r="J23" s="62">
        <f t="shared" si="0"/>
        <v>35000</v>
      </c>
      <c r="K23" s="63">
        <f t="shared" si="2"/>
        <v>4.5440680443502757</v>
      </c>
      <c r="L23" s="214">
        <f>IF(AND(I23&gt;29,I24&gt;29), AVERAGE(K23:K24),"")</f>
        <v>4.5468699831092749</v>
      </c>
      <c r="M23" s="216">
        <f>IF(AND(I23&gt;29,I24&gt;29),(K23-L23)^2,"")</f>
        <v>7.8508608091822909E-6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3</v>
      </c>
      <c r="D24" s="55">
        <v>2</v>
      </c>
      <c r="E24" s="55">
        <v>74</v>
      </c>
      <c r="F24" s="55">
        <v>4</v>
      </c>
      <c r="G24" s="55">
        <v>2</v>
      </c>
      <c r="H24" s="55">
        <v>4</v>
      </c>
      <c r="I24" s="64">
        <f t="shared" si="1"/>
        <v>78</v>
      </c>
      <c r="J24" s="57">
        <f t="shared" si="0"/>
        <v>35454.545454545456</v>
      </c>
      <c r="K24" s="58">
        <f t="shared" si="2"/>
        <v>4.5496719218682742</v>
      </c>
      <c r="L24" s="215"/>
      <c r="M24" s="217"/>
      <c r="N24" s="219"/>
    </row>
    <row r="25" spans="1:14" x14ac:dyDescent="0.25">
      <c r="A25" s="220" t="s">
        <v>258</v>
      </c>
      <c r="B25" s="59">
        <v>17</v>
      </c>
      <c r="C25" s="60">
        <v>3</v>
      </c>
      <c r="D25" s="60">
        <v>2</v>
      </c>
      <c r="E25" s="60">
        <v>44</v>
      </c>
      <c r="F25" s="60">
        <v>4</v>
      </c>
      <c r="G25" s="60">
        <v>2</v>
      </c>
      <c r="H25" s="60">
        <v>4</v>
      </c>
      <c r="I25" s="61">
        <f t="shared" si="1"/>
        <v>48</v>
      </c>
      <c r="J25" s="62">
        <f t="shared" si="0"/>
        <v>21818.181818181816</v>
      </c>
      <c r="K25" s="63">
        <f t="shared" si="2"/>
        <v>4.338818556553381</v>
      </c>
      <c r="L25" s="214">
        <f>IF(AND(I25&gt;29,I26&gt;29), AVERAGE(K25:K26),"")</f>
        <v>4.3295768537063744</v>
      </c>
      <c r="M25" s="216">
        <f>IF(AND(I25&gt;29,I26&gt;29),(K25-L25)^2,"")</f>
        <v>8.5409071512370822E-5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3</v>
      </c>
      <c r="D26" s="55">
        <v>2</v>
      </c>
      <c r="E26" s="55">
        <v>42</v>
      </c>
      <c r="F26" s="55">
        <v>4</v>
      </c>
      <c r="G26" s="55">
        <v>2</v>
      </c>
      <c r="H26" s="55">
        <v>4</v>
      </c>
      <c r="I26" s="64">
        <f t="shared" si="1"/>
        <v>46</v>
      </c>
      <c r="J26" s="57">
        <f t="shared" si="0"/>
        <v>20909.090909090908</v>
      </c>
      <c r="K26" s="58">
        <f t="shared" si="2"/>
        <v>4.3203351508593677</v>
      </c>
      <c r="L26" s="215"/>
      <c r="M26" s="217"/>
      <c r="N26" s="219"/>
    </row>
    <row r="27" spans="1:14" x14ac:dyDescent="0.25">
      <c r="A27" s="220" t="s">
        <v>259</v>
      </c>
      <c r="B27" s="49">
        <v>19</v>
      </c>
      <c r="C27" s="50">
        <v>3</v>
      </c>
      <c r="D27" s="50">
        <v>2</v>
      </c>
      <c r="E27" s="50">
        <v>112</v>
      </c>
      <c r="F27" s="50">
        <v>4</v>
      </c>
      <c r="G27" s="50">
        <v>2</v>
      </c>
      <c r="H27" s="50">
        <v>6</v>
      </c>
      <c r="I27" s="51">
        <f t="shared" si="1"/>
        <v>118</v>
      </c>
      <c r="J27" s="52">
        <f t="shared" si="0"/>
        <v>53636.363636363632</v>
      </c>
      <c r="K27" s="53">
        <f t="shared" si="2"/>
        <v>4.7294593264839193</v>
      </c>
      <c r="L27" s="224">
        <f>IF(AND(I27&gt;29,I28&gt;29), AVERAGE(K27:K28),"")</f>
        <v>4.6999369351834428</v>
      </c>
      <c r="M27" s="216">
        <f>IF(AND(I27&gt;29,I28&gt;29),(K27-L27)^2,"")</f>
        <v>8.7157158809845136E-4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3</v>
      </c>
      <c r="D28" s="66">
        <v>2</v>
      </c>
      <c r="E28" s="66">
        <v>93</v>
      </c>
      <c r="F28" s="66">
        <v>4</v>
      </c>
      <c r="G28" s="66">
        <v>2</v>
      </c>
      <c r="H28" s="66">
        <v>10</v>
      </c>
      <c r="I28" s="67">
        <f t="shared" si="1"/>
        <v>103</v>
      </c>
      <c r="J28" s="68">
        <f t="shared" si="0"/>
        <v>46818.181818181816</v>
      </c>
      <c r="K28" s="69">
        <f t="shared" si="2"/>
        <v>4.6704145438829663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5.7598490155046499E-2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0.115196980310093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5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0.10732985619579158</v>
      </c>
    </row>
    <row r="34" spans="1:15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5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5" x14ac:dyDescent="0.25">
      <c r="A36" s="222"/>
      <c r="B36" s="222"/>
      <c r="C36" s="222"/>
      <c r="D36" s="222"/>
      <c r="E36" s="222"/>
      <c r="F36" s="222"/>
      <c r="G36" s="222"/>
      <c r="H36" s="222"/>
      <c r="M36" s="152"/>
      <c r="N36" s="151"/>
      <c r="O36" s="151"/>
    </row>
    <row r="37" spans="1:15" x14ac:dyDescent="0.25">
      <c r="A37" s="222"/>
      <c r="B37" s="222"/>
      <c r="C37" s="222"/>
      <c r="D37" s="222"/>
      <c r="E37" s="222"/>
      <c r="F37" s="222"/>
      <c r="G37" s="222"/>
      <c r="H37" s="222"/>
    </row>
    <row r="39" spans="1:15" x14ac:dyDescent="0.25">
      <c r="A39" t="s">
        <v>102</v>
      </c>
      <c r="B39"/>
    </row>
    <row r="40" spans="1:15" ht="15.6" x14ac:dyDescent="0.25">
      <c r="A40" t="s">
        <v>3</v>
      </c>
      <c r="B40" t="s">
        <v>96</v>
      </c>
    </row>
    <row r="41" spans="1:15" x14ac:dyDescent="0.25">
      <c r="A41" s="3" t="s">
        <v>16</v>
      </c>
      <c r="B41" t="s">
        <v>97</v>
      </c>
    </row>
    <row r="42" spans="1:15" x14ac:dyDescent="0.25">
      <c r="A42" s="87" t="s">
        <v>17</v>
      </c>
      <c r="B42" s="146" t="s">
        <v>98</v>
      </c>
    </row>
    <row r="43" spans="1:15" x14ac:dyDescent="0.25">
      <c r="A43" t="s">
        <v>2</v>
      </c>
      <c r="B43" s="3" t="s">
        <v>99</v>
      </c>
    </row>
    <row r="44" spans="1:15" x14ac:dyDescent="0.25">
      <c r="A44" t="s">
        <v>103</v>
      </c>
      <c r="B44" s="3" t="s">
        <v>100</v>
      </c>
    </row>
    <row r="45" spans="1:15" ht="15.6" x14ac:dyDescent="0.35">
      <c r="A45" t="s">
        <v>104</v>
      </c>
      <c r="B45" t="s">
        <v>101</v>
      </c>
    </row>
  </sheetData>
  <sheetProtection selectLockedCells="1"/>
  <customSheetViews>
    <customSheetView guid="{FE58DACD-0759-49AE-B802-24C56E0F01FD}" scale="80">
      <selection activeCell="M36" sqref="M36:O36"/>
      <pageMargins left="0.78740157499999996" right="0.78740157499999996" top="0.984251969" bottom="0.984251969" header="0.4921259845" footer="0.4921259845"/>
      <pageSetup paperSize="9" scale="44" orientation="landscape" r:id="rId1"/>
      <headerFooter alignWithMargins="0"/>
    </customSheetView>
  </customSheetViews>
  <mergeCells count="46">
    <mergeCell ref="B3:D3"/>
    <mergeCell ref="B4:D4"/>
    <mergeCell ref="F4:I4"/>
    <mergeCell ref="B5:D5"/>
    <mergeCell ref="B6:D6"/>
    <mergeCell ref="L9:L10"/>
    <mergeCell ref="M9:M10"/>
    <mergeCell ref="N9:N10"/>
    <mergeCell ref="A11:A12"/>
    <mergeCell ref="L11:L12"/>
    <mergeCell ref="M11:M12"/>
    <mergeCell ref="N11:N12"/>
    <mergeCell ref="A9:A10"/>
    <mergeCell ref="A13:A14"/>
    <mergeCell ref="L13:L14"/>
    <mergeCell ref="M13:M14"/>
    <mergeCell ref="N13:N14"/>
    <mergeCell ref="A15:A16"/>
    <mergeCell ref="L15:L16"/>
    <mergeCell ref="M15:M16"/>
    <mergeCell ref="N15:N16"/>
    <mergeCell ref="A17:A18"/>
    <mergeCell ref="L17:L18"/>
    <mergeCell ref="M17:M18"/>
    <mergeCell ref="N17:N18"/>
    <mergeCell ref="A19:A20"/>
    <mergeCell ref="L19:L20"/>
    <mergeCell ref="M19:M20"/>
    <mergeCell ref="N19:N20"/>
    <mergeCell ref="A21:A22"/>
    <mergeCell ref="L21:L22"/>
    <mergeCell ref="M21:M22"/>
    <mergeCell ref="N21:N22"/>
    <mergeCell ref="A23:A24"/>
    <mergeCell ref="L23:L24"/>
    <mergeCell ref="M23:M24"/>
    <mergeCell ref="N23:N24"/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</mergeCells>
  <conditionalFormatting sqref="I9:I28">
    <cfRule type="cellIs" dxfId="2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2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N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6.33203125" style="38" customWidth="1"/>
    <col min="13" max="13" width="26.5546875" style="38" customWidth="1"/>
    <col min="14" max="14" width="21.1093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295</v>
      </c>
      <c r="C3" s="208"/>
      <c r="D3" s="209"/>
      <c r="F3" s="38" t="s">
        <v>116</v>
      </c>
    </row>
    <row r="4" spans="1:14" x14ac:dyDescent="0.25">
      <c r="A4" s="1" t="s">
        <v>92</v>
      </c>
      <c r="B4" s="207" t="s">
        <v>296</v>
      </c>
      <c r="C4" s="208"/>
      <c r="D4" s="209"/>
      <c r="F4" s="210" t="s">
        <v>297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298</v>
      </c>
      <c r="B9" s="49">
        <v>1</v>
      </c>
      <c r="C9" s="50">
        <v>4</v>
      </c>
      <c r="D9" s="50">
        <v>2</v>
      </c>
      <c r="E9" s="50">
        <v>25</v>
      </c>
      <c r="F9" s="50">
        <v>5</v>
      </c>
      <c r="G9" s="50">
        <v>2</v>
      </c>
      <c r="H9" s="50">
        <v>11</v>
      </c>
      <c r="I9" s="51">
        <f>H9+E9</f>
        <v>36</v>
      </c>
      <c r="J9" s="52">
        <f t="shared" ref="J9:J28" si="0">IF(I9&gt;29,I9/(D9+0.1*G9)*10^(C9),"")</f>
        <v>163636.36363636365</v>
      </c>
      <c r="K9" s="53">
        <f>IF(I9&gt;29,LOG10(J9),"")</f>
        <v>5.2138798199450811</v>
      </c>
      <c r="L9" s="214">
        <f>IF(AND(I9&gt;29,I10&gt;29), AVERAGE(K9:K10),"")</f>
        <v>5.1742891969212685</v>
      </c>
      <c r="M9" s="216">
        <f>IF(AND(I9&gt;29,I10&gt;29),(K9-L9)^2,"")</f>
        <v>1.5674174314136368E-3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4</v>
      </c>
      <c r="D10" s="55">
        <v>2</v>
      </c>
      <c r="E10" s="55">
        <v>23</v>
      </c>
      <c r="F10" s="55">
        <v>5</v>
      </c>
      <c r="G10" s="55">
        <v>2</v>
      </c>
      <c r="H10" s="55">
        <v>7</v>
      </c>
      <c r="I10" s="56">
        <f t="shared" ref="I10:I28" si="1">H10+E10</f>
        <v>30</v>
      </c>
      <c r="J10" s="57">
        <f>IF(I10&gt;29,I10/(D10+0.1*G10)*10^(C10),"")</f>
        <v>136363.63636363635</v>
      </c>
      <c r="K10" s="58">
        <f>IF(I10&gt;29,LOG10(J10),"")</f>
        <v>5.134698573897456</v>
      </c>
      <c r="L10" s="215"/>
      <c r="M10" s="217"/>
      <c r="N10" s="219"/>
    </row>
    <row r="11" spans="1:14" x14ac:dyDescent="0.25">
      <c r="A11" s="220" t="s">
        <v>299</v>
      </c>
      <c r="B11" s="59">
        <v>3</v>
      </c>
      <c r="C11" s="60">
        <v>3</v>
      </c>
      <c r="D11" s="60">
        <v>2</v>
      </c>
      <c r="E11" s="60">
        <v>60</v>
      </c>
      <c r="F11" s="60">
        <v>4</v>
      </c>
      <c r="G11" s="60">
        <v>2</v>
      </c>
      <c r="H11" s="60">
        <v>6</v>
      </c>
      <c r="I11" s="61">
        <f t="shared" si="1"/>
        <v>66</v>
      </c>
      <c r="J11" s="62">
        <f t="shared" si="0"/>
        <v>29999.999999999996</v>
      </c>
      <c r="K11" s="63">
        <f t="shared" ref="K11:K28" si="2">IF(I11&gt;29,LOG10(J11),"")</f>
        <v>4.4771212547196626</v>
      </c>
      <c r="L11" s="214">
        <f>IF(AND(I11&gt;29,I12&gt;29), AVERAGE(K11:K12),"")</f>
        <v>4.5133965882939684</v>
      </c>
      <c r="M11" s="216">
        <f>IF(AND(I11&gt;29,I12&gt;29),(K11-L11)^2,"")</f>
        <v>1.3158998259271569E-3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3</v>
      </c>
      <c r="D12" s="50">
        <v>2</v>
      </c>
      <c r="E12" s="50">
        <v>74</v>
      </c>
      <c r="F12" s="50">
        <v>4</v>
      </c>
      <c r="G12" s="50">
        <v>2</v>
      </c>
      <c r="H12" s="50">
        <v>4</v>
      </c>
      <c r="I12" s="64">
        <f t="shared" si="1"/>
        <v>78</v>
      </c>
      <c r="J12" s="57">
        <f t="shared" si="0"/>
        <v>35454.545454545456</v>
      </c>
      <c r="K12" s="58">
        <f t="shared" si="2"/>
        <v>4.5496719218682742</v>
      </c>
      <c r="L12" s="215"/>
      <c r="M12" s="217"/>
      <c r="N12" s="219"/>
    </row>
    <row r="13" spans="1:14" x14ac:dyDescent="0.25">
      <c r="A13" s="220" t="s">
        <v>300</v>
      </c>
      <c r="B13" s="59">
        <v>5</v>
      </c>
      <c r="C13" s="60">
        <v>2</v>
      </c>
      <c r="D13" s="60">
        <v>2</v>
      </c>
      <c r="E13" s="60">
        <f>183+14</f>
        <v>197</v>
      </c>
      <c r="F13" s="60">
        <v>3</v>
      </c>
      <c r="G13" s="60">
        <v>2</v>
      </c>
      <c r="H13" s="60">
        <f>26+7</f>
        <v>33</v>
      </c>
      <c r="I13" s="61">
        <f t="shared" si="1"/>
        <v>230</v>
      </c>
      <c r="J13" s="62">
        <f t="shared" si="0"/>
        <v>10454.545454545454</v>
      </c>
      <c r="K13" s="63">
        <f t="shared" si="2"/>
        <v>4.0193051551953864</v>
      </c>
      <c r="L13" s="214">
        <f>IF(AND(I13&gt;29,I14&gt;29), AVERAGE(K13:K14),"")</f>
        <v>4.0016091676509653</v>
      </c>
      <c r="M13" s="216">
        <f>IF(AND(I13&gt;29,I14&gt;29),(K13-L13)^2,"")</f>
        <v>3.1314797517230825E-4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2</v>
      </c>
      <c r="D14" s="55">
        <v>2</v>
      </c>
      <c r="E14" s="55">
        <f>141+53</f>
        <v>194</v>
      </c>
      <c r="F14" s="55">
        <v>3</v>
      </c>
      <c r="G14" s="55">
        <v>2</v>
      </c>
      <c r="H14" s="55">
        <f>11+7</f>
        <v>18</v>
      </c>
      <c r="I14" s="64">
        <f t="shared" si="1"/>
        <v>212</v>
      </c>
      <c r="J14" s="57">
        <f t="shared" si="0"/>
        <v>9636.363636363636</v>
      </c>
      <c r="K14" s="58">
        <f t="shared" si="2"/>
        <v>3.983913180106545</v>
      </c>
      <c r="L14" s="215"/>
      <c r="M14" s="217"/>
      <c r="N14" s="219"/>
    </row>
    <row r="15" spans="1:14" x14ac:dyDescent="0.25">
      <c r="A15" s="220" t="s">
        <v>301</v>
      </c>
      <c r="B15" s="59">
        <v>7</v>
      </c>
      <c r="C15" s="60">
        <v>2</v>
      </c>
      <c r="D15" s="60">
        <v>2</v>
      </c>
      <c r="E15" s="60">
        <v>115</v>
      </c>
      <c r="F15" s="60"/>
      <c r="G15" s="60"/>
      <c r="H15" s="60"/>
      <c r="I15" s="61">
        <f t="shared" si="1"/>
        <v>115</v>
      </c>
      <c r="J15" s="62">
        <f t="shared" si="0"/>
        <v>5750</v>
      </c>
      <c r="K15" s="63">
        <f t="shared" si="2"/>
        <v>3.7596678446896306</v>
      </c>
      <c r="L15" s="214">
        <f>IF(AND(I15&gt;29,I16&gt;29), AVERAGE(K15:K16),"")</f>
        <v>3.7440108133554295</v>
      </c>
      <c r="M15" s="216">
        <f>IF(AND(I15&gt;29,I16&gt;29),(K15-L15)^2,"")</f>
        <v>2.451426302001533E-4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2</v>
      </c>
      <c r="D16" s="55">
        <v>2</v>
      </c>
      <c r="E16" s="55">
        <v>107</v>
      </c>
      <c r="F16" s="55"/>
      <c r="G16" s="55"/>
      <c r="H16" s="55"/>
      <c r="I16" s="64">
        <f t="shared" si="1"/>
        <v>107</v>
      </c>
      <c r="J16" s="57">
        <f t="shared" si="0"/>
        <v>5350</v>
      </c>
      <c r="K16" s="58">
        <f t="shared" si="2"/>
        <v>3.7283537820212285</v>
      </c>
      <c r="L16" s="215"/>
      <c r="M16" s="217"/>
      <c r="N16" s="219"/>
    </row>
    <row r="17" spans="1:14" x14ac:dyDescent="0.25">
      <c r="A17" s="220" t="s">
        <v>302</v>
      </c>
      <c r="B17" s="59">
        <v>9</v>
      </c>
      <c r="C17" s="60">
        <v>4</v>
      </c>
      <c r="D17" s="60">
        <v>2</v>
      </c>
      <c r="E17" s="60">
        <f>19+10</f>
        <v>29</v>
      </c>
      <c r="F17" s="60">
        <v>5</v>
      </c>
      <c r="G17" s="60">
        <v>2</v>
      </c>
      <c r="H17" s="60">
        <v>2</v>
      </c>
      <c r="I17" s="61">
        <f t="shared" si="1"/>
        <v>31</v>
      </c>
      <c r="J17" s="62">
        <f t="shared" si="0"/>
        <v>140909.09090909091</v>
      </c>
      <c r="K17" s="63">
        <f t="shared" si="2"/>
        <v>5.1489390130120665</v>
      </c>
      <c r="L17" s="214">
        <f>IF(AND(I17&gt;29,I18&gt;29), AVERAGE(K17:K18),"")</f>
        <v>5.2303464370339103</v>
      </c>
      <c r="M17" s="216">
        <f>IF(AND(I17&gt;29,I18&gt;29),(K17-L17)^2,"")</f>
        <v>6.6271686858722818E-3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4</v>
      </c>
      <c r="D18" s="55">
        <v>2</v>
      </c>
      <c r="E18" s="55">
        <f>19+22</f>
        <v>41</v>
      </c>
      <c r="F18" s="55"/>
      <c r="G18" s="55"/>
      <c r="H18" s="55"/>
      <c r="I18" s="64">
        <f t="shared" si="1"/>
        <v>41</v>
      </c>
      <c r="J18" s="57">
        <f t="shared" si="0"/>
        <v>205000</v>
      </c>
      <c r="K18" s="58">
        <f t="shared" si="2"/>
        <v>5.3117538610557542</v>
      </c>
      <c r="L18" s="215"/>
      <c r="M18" s="217"/>
      <c r="N18" s="219"/>
    </row>
    <row r="19" spans="1:14" x14ac:dyDescent="0.25">
      <c r="A19" s="220" t="s">
        <v>303</v>
      </c>
      <c r="B19" s="59">
        <v>11</v>
      </c>
      <c r="C19" s="60">
        <v>3</v>
      </c>
      <c r="D19" s="60">
        <v>2</v>
      </c>
      <c r="E19" s="60">
        <f>33+2</f>
        <v>35</v>
      </c>
      <c r="F19" s="60">
        <v>4</v>
      </c>
      <c r="G19" s="60">
        <v>2</v>
      </c>
      <c r="H19" s="60">
        <f>8+1</f>
        <v>9</v>
      </c>
      <c r="I19" s="61">
        <f t="shared" si="1"/>
        <v>44</v>
      </c>
      <c r="J19" s="62">
        <f t="shared" si="0"/>
        <v>20000</v>
      </c>
      <c r="K19" s="63">
        <f t="shared" si="2"/>
        <v>4.3010299956639813</v>
      </c>
      <c r="L19" s="214">
        <f>IF(AND(I19&gt;29,I20&gt;29), AVERAGE(K19:K20),"")</f>
        <v>4.2909283026198377</v>
      </c>
      <c r="M19" s="216">
        <f>IF(AND(I19&gt;29,I20&gt;29),(K19-L19)^2,"")</f>
        <v>1.0204420235809808E-4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3</v>
      </c>
      <c r="D20" s="55">
        <v>2</v>
      </c>
      <c r="E20" s="55">
        <v>39</v>
      </c>
      <c r="F20" s="55">
        <v>4</v>
      </c>
      <c r="G20" s="55">
        <v>2</v>
      </c>
      <c r="H20" s="55">
        <v>3</v>
      </c>
      <c r="I20" s="64">
        <f t="shared" si="1"/>
        <v>42</v>
      </c>
      <c r="J20" s="57">
        <f t="shared" si="0"/>
        <v>19090.909090909088</v>
      </c>
      <c r="K20" s="58">
        <f t="shared" si="2"/>
        <v>4.2808266095756942</v>
      </c>
      <c r="L20" s="215"/>
      <c r="M20" s="217"/>
      <c r="N20" s="219"/>
    </row>
    <row r="21" spans="1:14" x14ac:dyDescent="0.25">
      <c r="A21" s="220" t="s">
        <v>304</v>
      </c>
      <c r="B21" s="59">
        <v>13</v>
      </c>
      <c r="C21" s="60">
        <v>1</v>
      </c>
      <c r="D21" s="60">
        <v>6</v>
      </c>
      <c r="E21" s="60">
        <v>47</v>
      </c>
      <c r="F21" s="60"/>
      <c r="G21" s="60"/>
      <c r="H21" s="60"/>
      <c r="I21" s="61">
        <f t="shared" si="1"/>
        <v>47</v>
      </c>
      <c r="J21" s="62">
        <f t="shared" si="0"/>
        <v>78.333333333333329</v>
      </c>
      <c r="K21" s="63">
        <f t="shared" si="2"/>
        <v>1.8939466075520739</v>
      </c>
      <c r="L21" s="214">
        <f>IF(AND(I21&gt;29,I22&gt;29), AVERAGE(K21:K22),"")</f>
        <v>1.8360489289678588</v>
      </c>
      <c r="M21" s="216">
        <f>IF(AND(I21&gt;29,I22&gt;29),(K21-L21)^2,"")</f>
        <v>3.352141185441083E-3</v>
      </c>
      <c r="N21" s="218">
        <f>IF(AND(I21&gt;29,I22&gt;29),COUNT(K21:K22)-1,"")</f>
        <v>1</v>
      </c>
    </row>
    <row r="22" spans="1:14" ht="13.8" thickBot="1" x14ac:dyDescent="0.3">
      <c r="A22" s="220"/>
      <c r="B22" s="54">
        <v>14</v>
      </c>
      <c r="C22" s="55">
        <v>1</v>
      </c>
      <c r="D22" s="55">
        <v>6</v>
      </c>
      <c r="E22" s="55">
        <v>36</v>
      </c>
      <c r="F22" s="55"/>
      <c r="G22" s="55"/>
      <c r="H22" s="55"/>
      <c r="I22" s="64">
        <f t="shared" si="1"/>
        <v>36</v>
      </c>
      <c r="J22" s="57">
        <f t="shared" si="0"/>
        <v>60</v>
      </c>
      <c r="K22" s="58">
        <f t="shared" si="2"/>
        <v>1.7781512503836436</v>
      </c>
      <c r="L22" s="215"/>
      <c r="M22" s="217"/>
      <c r="N22" s="219"/>
    </row>
    <row r="23" spans="1:14" x14ac:dyDescent="0.25">
      <c r="A23" s="221" t="s">
        <v>305</v>
      </c>
      <c r="B23" s="59">
        <v>15</v>
      </c>
      <c r="C23" s="60">
        <v>4</v>
      </c>
      <c r="D23" s="60">
        <v>2</v>
      </c>
      <c r="E23" s="60">
        <v>75</v>
      </c>
      <c r="F23" s="60">
        <v>5</v>
      </c>
      <c r="G23" s="60">
        <v>2</v>
      </c>
      <c r="H23" s="60">
        <v>11</v>
      </c>
      <c r="I23" s="61">
        <f t="shared" si="1"/>
        <v>86</v>
      </c>
      <c r="J23" s="62">
        <f t="shared" si="0"/>
        <v>390909.09090909088</v>
      </c>
      <c r="K23" s="63">
        <f t="shared" si="2"/>
        <v>5.5920757704213617</v>
      </c>
      <c r="L23" s="214">
        <f>IF(AND(I23&gt;29,I24&gt;29), AVERAGE(K23:K24),"")</f>
        <v>5.5410810011526959</v>
      </c>
      <c r="M23" s="216">
        <f>IF(AND(I23&gt;29,I24&gt;29),(K23-L23)^2,"")</f>
        <v>2.6004664927644682E-3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4</v>
      </c>
      <c r="D24" s="55">
        <v>2</v>
      </c>
      <c r="E24" s="55">
        <v>61</v>
      </c>
      <c r="F24" s="55">
        <v>5</v>
      </c>
      <c r="G24" s="55">
        <v>2</v>
      </c>
      <c r="H24" s="55">
        <v>7</v>
      </c>
      <c r="I24" s="64">
        <f t="shared" si="1"/>
        <v>68</v>
      </c>
      <c r="J24" s="57">
        <f t="shared" si="0"/>
        <v>309090.90909090906</v>
      </c>
      <c r="K24" s="58">
        <f t="shared" si="2"/>
        <v>5.49008623188403</v>
      </c>
      <c r="L24" s="215"/>
      <c r="M24" s="217"/>
      <c r="N24" s="219"/>
    </row>
    <row r="25" spans="1:14" x14ac:dyDescent="0.25">
      <c r="A25" s="220" t="s">
        <v>306</v>
      </c>
      <c r="B25" s="59">
        <v>17</v>
      </c>
      <c r="C25" s="60">
        <v>4</v>
      </c>
      <c r="D25" s="60">
        <v>2</v>
      </c>
      <c r="E25" s="60">
        <f>75+8</f>
        <v>83</v>
      </c>
      <c r="F25" s="60">
        <v>5</v>
      </c>
      <c r="G25" s="60">
        <v>2</v>
      </c>
      <c r="H25" s="60">
        <f>11+2</f>
        <v>13</v>
      </c>
      <c r="I25" s="61">
        <f t="shared" si="1"/>
        <v>96</v>
      </c>
      <c r="J25" s="62">
        <f t="shared" si="0"/>
        <v>436363.63636363635</v>
      </c>
      <c r="K25" s="63">
        <f t="shared" si="2"/>
        <v>5.6398485522173623</v>
      </c>
      <c r="L25" s="214">
        <f>IF(AND(I25&gt;29,I26&gt;29), AVERAGE(K25:K26),"")</f>
        <v>5.5862435673934279</v>
      </c>
      <c r="M25" s="216">
        <f>IF(AND(I25&gt;29,I26&gt;29),(K25-L25)^2,"")</f>
        <v>2.8734943979742359E-3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4</v>
      </c>
      <c r="D26" s="55">
        <v>2</v>
      </c>
      <c r="E26" s="55">
        <f>61+7</f>
        <v>68</v>
      </c>
      <c r="F26" s="55">
        <v>5</v>
      </c>
      <c r="G26" s="55">
        <v>2</v>
      </c>
      <c r="H26" s="55">
        <v>7</v>
      </c>
      <c r="I26" s="64">
        <f t="shared" si="1"/>
        <v>75</v>
      </c>
      <c r="J26" s="57">
        <f t="shared" si="0"/>
        <v>340909.09090909088</v>
      </c>
      <c r="K26" s="58">
        <f t="shared" si="2"/>
        <v>5.5326385825694935</v>
      </c>
      <c r="L26" s="215"/>
      <c r="M26" s="217"/>
      <c r="N26" s="219"/>
    </row>
    <row r="27" spans="1:14" x14ac:dyDescent="0.25">
      <c r="A27" s="220" t="s">
        <v>307</v>
      </c>
      <c r="B27" s="49">
        <v>19</v>
      </c>
      <c r="C27" s="50">
        <v>4</v>
      </c>
      <c r="D27" s="50">
        <v>2</v>
      </c>
      <c r="E27" s="50">
        <f>26+5</f>
        <v>31</v>
      </c>
      <c r="F27" s="50">
        <v>5</v>
      </c>
      <c r="G27" s="50">
        <v>1</v>
      </c>
      <c r="H27" s="50">
        <v>1</v>
      </c>
      <c r="I27" s="51">
        <f t="shared" si="1"/>
        <v>32</v>
      </c>
      <c r="J27" s="52">
        <f t="shared" si="0"/>
        <v>152380.95238095237</v>
      </c>
      <c r="K27" s="53">
        <f t="shared" si="2"/>
        <v>5.1829306835859867</v>
      </c>
      <c r="L27" s="224">
        <f>IF(AND(I27&gt;29,I28&gt;29), AVERAGE(K27:K28),"")</f>
        <v>5.1728289905418432</v>
      </c>
      <c r="M27" s="216">
        <f>IF(AND(I27&gt;29,I28&gt;29),(K27-L27)^2,"")</f>
        <v>1.0204420235809808E-4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2</v>
      </c>
      <c r="E28" s="66">
        <f>28+1</f>
        <v>29</v>
      </c>
      <c r="F28" s="66">
        <v>5</v>
      </c>
      <c r="G28" s="66">
        <v>2</v>
      </c>
      <c r="H28" s="66">
        <v>3</v>
      </c>
      <c r="I28" s="67">
        <f t="shared" si="1"/>
        <v>32</v>
      </c>
      <c r="J28" s="68">
        <f t="shared" si="0"/>
        <v>145454.54545454544</v>
      </c>
      <c r="K28" s="69">
        <f t="shared" si="2"/>
        <v>5.1627272974976997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1.9098967029481516E-2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3.8197934058963032E-2</v>
      </c>
    </row>
    <row r="31" spans="1:14" ht="13.8" thickBot="1" x14ac:dyDescent="0.3">
      <c r="A31" s="222"/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6.1804477231801769E-2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  <c r="K36" s="154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  <c r="K37" s="154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153" t="s">
        <v>17</v>
      </c>
      <c r="B42" s="153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mergeCells count="46">
    <mergeCell ref="B3:D3"/>
    <mergeCell ref="B4:D4"/>
    <mergeCell ref="F4:I4"/>
    <mergeCell ref="B5:D5"/>
    <mergeCell ref="B6:D6"/>
    <mergeCell ref="L9:L10"/>
    <mergeCell ref="M9:M10"/>
    <mergeCell ref="N9:N10"/>
    <mergeCell ref="A11:A12"/>
    <mergeCell ref="L11:L12"/>
    <mergeCell ref="M11:M12"/>
    <mergeCell ref="N11:N12"/>
    <mergeCell ref="A9:A10"/>
    <mergeCell ref="A13:A14"/>
    <mergeCell ref="L13:L14"/>
    <mergeCell ref="M13:M14"/>
    <mergeCell ref="N13:N14"/>
    <mergeCell ref="A15:A16"/>
    <mergeCell ref="L15:L16"/>
    <mergeCell ref="M15:M16"/>
    <mergeCell ref="N15:N16"/>
    <mergeCell ref="A17:A18"/>
    <mergeCell ref="L17:L18"/>
    <mergeCell ref="M17:M18"/>
    <mergeCell ref="N17:N18"/>
    <mergeCell ref="A19:A20"/>
    <mergeCell ref="L19:L20"/>
    <mergeCell ref="M19:M20"/>
    <mergeCell ref="N19:N20"/>
    <mergeCell ref="A21:A22"/>
    <mergeCell ref="L21:L22"/>
    <mergeCell ref="M21:M22"/>
    <mergeCell ref="N21:N22"/>
    <mergeCell ref="A23:A24"/>
    <mergeCell ref="L23:L24"/>
    <mergeCell ref="M23:M24"/>
    <mergeCell ref="N23:N24"/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</mergeCells>
  <conditionalFormatting sqref="I9:I28">
    <cfRule type="cellIs" dxfId="1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N45"/>
  <sheetViews>
    <sheetView zoomScale="80" zoomScaleNormal="80" workbookViewId="0">
      <selection activeCell="M8" sqref="M8"/>
    </sheetView>
  </sheetViews>
  <sheetFormatPr defaultColWidth="11.44140625" defaultRowHeight="13.2" x14ac:dyDescent="0.25"/>
  <cols>
    <col min="1" max="1" width="11" style="38" customWidth="1"/>
    <col min="2" max="8" width="11.44140625" style="38"/>
    <col min="9" max="9" width="16.88671875" style="38" bestFit="1" customWidth="1"/>
    <col min="10" max="10" width="12.109375" style="38" customWidth="1"/>
    <col min="11" max="11" width="11.44140625" style="38"/>
    <col min="12" max="12" width="15.44140625" style="38" customWidth="1"/>
    <col min="13" max="13" width="25.33203125" style="38" customWidth="1"/>
    <col min="14" max="14" width="20.109375" style="38" customWidth="1"/>
    <col min="15" max="16384" width="11.44140625" style="38"/>
  </cols>
  <sheetData>
    <row r="1" spans="1:14" ht="17.399999999999999" x14ac:dyDescent="0.3">
      <c r="A1" s="39" t="s">
        <v>90</v>
      </c>
    </row>
    <row r="2" spans="1:14" x14ac:dyDescent="0.25">
      <c r="A2"/>
    </row>
    <row r="3" spans="1:14" x14ac:dyDescent="0.25">
      <c r="A3" s="1" t="s">
        <v>91</v>
      </c>
      <c r="B3" s="207" t="s">
        <v>295</v>
      </c>
      <c r="C3" s="208"/>
      <c r="D3" s="209"/>
      <c r="F3" s="38" t="s">
        <v>116</v>
      </c>
    </row>
    <row r="4" spans="1:14" x14ac:dyDescent="0.25">
      <c r="A4" s="1" t="s">
        <v>92</v>
      </c>
      <c r="B4" s="207" t="s">
        <v>161</v>
      </c>
      <c r="C4" s="208"/>
      <c r="D4" s="209"/>
      <c r="F4" s="210" t="s">
        <v>297</v>
      </c>
      <c r="G4" s="211"/>
      <c r="H4" s="211"/>
      <c r="I4" s="212"/>
    </row>
    <row r="5" spans="1:14" x14ac:dyDescent="0.25">
      <c r="A5" s="24" t="s">
        <v>94</v>
      </c>
      <c r="B5" s="207" t="s">
        <v>199</v>
      </c>
      <c r="C5" s="208"/>
      <c r="D5" s="209"/>
      <c r="H5" s="40" t="s">
        <v>115</v>
      </c>
      <c r="I5" s="41" t="s">
        <v>117</v>
      </c>
    </row>
    <row r="6" spans="1:14" x14ac:dyDescent="0.25">
      <c r="A6" s="24" t="s">
        <v>93</v>
      </c>
      <c r="B6" s="213"/>
      <c r="C6" s="213"/>
      <c r="D6" s="213"/>
    </row>
    <row r="7" spans="1:14" ht="13.8" thickBot="1" x14ac:dyDescent="0.3"/>
    <row r="8" spans="1:14" ht="16.2" thickBot="1" x14ac:dyDescent="0.3">
      <c r="A8" s="42" t="s">
        <v>10</v>
      </c>
      <c r="B8" s="43" t="s">
        <v>4</v>
      </c>
      <c r="C8" s="44" t="s">
        <v>0</v>
      </c>
      <c r="D8" s="45" t="s">
        <v>12</v>
      </c>
      <c r="E8" s="44" t="s">
        <v>8</v>
      </c>
      <c r="F8" s="44" t="s">
        <v>1</v>
      </c>
      <c r="G8" s="45" t="s">
        <v>14</v>
      </c>
      <c r="H8" s="44" t="s">
        <v>9</v>
      </c>
      <c r="I8" s="44" t="s">
        <v>2</v>
      </c>
      <c r="J8" s="44" t="s">
        <v>103</v>
      </c>
      <c r="K8" s="44" t="s">
        <v>104</v>
      </c>
      <c r="L8" s="46" t="s">
        <v>108</v>
      </c>
      <c r="M8" s="47" t="s">
        <v>416</v>
      </c>
      <c r="N8" s="48" t="s">
        <v>109</v>
      </c>
    </row>
    <row r="9" spans="1:14" x14ac:dyDescent="0.25">
      <c r="A9" s="221" t="s">
        <v>305</v>
      </c>
      <c r="B9" s="49">
        <v>1</v>
      </c>
      <c r="C9" s="50">
        <v>5</v>
      </c>
      <c r="D9" s="50">
        <v>2</v>
      </c>
      <c r="E9" s="50">
        <v>77</v>
      </c>
      <c r="F9" s="50">
        <v>6</v>
      </c>
      <c r="G9" s="50">
        <v>2</v>
      </c>
      <c r="H9" s="50">
        <v>10</v>
      </c>
      <c r="I9" s="51">
        <f>H9+E9</f>
        <v>87</v>
      </c>
      <c r="J9" s="52">
        <f t="shared" ref="J9:J28" si="0">IF(I9&gt;29,I9/(D9+0.1*G9)*10^(C9),"")</f>
        <v>3954545.4545454541</v>
      </c>
      <c r="K9" s="53">
        <f>IF(I9&gt;29,LOG10(J9),"")</f>
        <v>6.5970965717964125</v>
      </c>
      <c r="L9" s="214">
        <f>IF(AND(I9&gt;29,I10&gt;29), AVERAGE(K9:K10),"")</f>
        <v>6.7210973059053352</v>
      </c>
      <c r="M9" s="216">
        <f>IF(AND(I9&gt;29,I10&gt;29),(K9-L9)^2,"")</f>
        <v>1.5376182059551734E-2</v>
      </c>
      <c r="N9" s="218">
        <f>IF(AND(I9&gt;29,I10&gt;29),COUNT(K9:K10)-1,"")</f>
        <v>1</v>
      </c>
    </row>
    <row r="10" spans="1:14" x14ac:dyDescent="0.25">
      <c r="A10" s="220"/>
      <c r="B10" s="54">
        <v>2</v>
      </c>
      <c r="C10" s="55">
        <v>5</v>
      </c>
      <c r="D10" s="55">
        <v>2</v>
      </c>
      <c r="E10" s="55">
        <v>143</v>
      </c>
      <c r="F10" s="55">
        <v>6</v>
      </c>
      <c r="G10" s="55">
        <v>2</v>
      </c>
      <c r="H10" s="55">
        <v>11</v>
      </c>
      <c r="I10" s="56">
        <f t="shared" ref="I10:I28" si="1">H10+E10</f>
        <v>154</v>
      </c>
      <c r="J10" s="57">
        <f>IF(I10&gt;29,I10/(D10+0.1*G10)*10^(C10),"")</f>
        <v>7000000</v>
      </c>
      <c r="K10" s="58">
        <f>IF(I10&gt;29,LOG10(J10),"")</f>
        <v>6.8450980400142569</v>
      </c>
      <c r="L10" s="215"/>
      <c r="M10" s="217"/>
      <c r="N10" s="219"/>
    </row>
    <row r="11" spans="1:14" x14ac:dyDescent="0.25">
      <c r="A11" s="220" t="s">
        <v>308</v>
      </c>
      <c r="B11" s="59">
        <v>3</v>
      </c>
      <c r="C11" s="60">
        <v>2</v>
      </c>
      <c r="D11" s="60">
        <v>2</v>
      </c>
      <c r="E11" s="60">
        <v>36</v>
      </c>
      <c r="F11" s="60"/>
      <c r="G11" s="60"/>
      <c r="H11" s="60"/>
      <c r="I11" s="61">
        <f t="shared" si="1"/>
        <v>36</v>
      </c>
      <c r="J11" s="62">
        <f t="shared" si="0"/>
        <v>1800</v>
      </c>
      <c r="K11" s="63">
        <f t="shared" ref="K11:K28" si="2">IF(I11&gt;29,LOG10(J11),"")</f>
        <v>3.255272505103306</v>
      </c>
      <c r="L11" s="214">
        <f>IF(AND(I11&gt;29,I12&gt;29), AVERAGE(K11:K12),"")</f>
        <v>3.2988475929627561</v>
      </c>
      <c r="M11" s="216">
        <f>IF(AND(I11&gt;29,I12&gt;29),(K11-L11)^2,"")</f>
        <v>1.8987882819587938E-3</v>
      </c>
      <c r="N11" s="218">
        <f>IF(AND(I11&gt;29,I12&gt;29),COUNT(K11:K12)-1,"")</f>
        <v>1</v>
      </c>
    </row>
    <row r="12" spans="1:14" x14ac:dyDescent="0.25">
      <c r="A12" s="220"/>
      <c r="B12" s="54">
        <v>4</v>
      </c>
      <c r="C12" s="50">
        <v>2</v>
      </c>
      <c r="D12" s="50">
        <v>2</v>
      </c>
      <c r="E12" s="50">
        <v>44</v>
      </c>
      <c r="F12" s="50"/>
      <c r="G12" s="50"/>
      <c r="H12" s="50"/>
      <c r="I12" s="64">
        <f t="shared" si="1"/>
        <v>44</v>
      </c>
      <c r="J12" s="57">
        <f t="shared" si="0"/>
        <v>2200</v>
      </c>
      <c r="K12" s="58">
        <f t="shared" si="2"/>
        <v>3.3424226808222062</v>
      </c>
      <c r="L12" s="215"/>
      <c r="M12" s="217"/>
      <c r="N12" s="219"/>
    </row>
    <row r="13" spans="1:14" x14ac:dyDescent="0.25">
      <c r="A13" s="220" t="s">
        <v>300</v>
      </c>
      <c r="B13" s="59">
        <v>5</v>
      </c>
      <c r="C13" s="60">
        <v>3</v>
      </c>
      <c r="D13" s="60">
        <v>2</v>
      </c>
      <c r="E13" s="60">
        <v>71</v>
      </c>
      <c r="F13" s="60">
        <v>4</v>
      </c>
      <c r="G13" s="60">
        <v>2</v>
      </c>
      <c r="H13" s="60">
        <v>10</v>
      </c>
      <c r="I13" s="61">
        <f t="shared" si="1"/>
        <v>81</v>
      </c>
      <c r="J13" s="62">
        <f t="shared" si="0"/>
        <v>36818.181818181816</v>
      </c>
      <c r="K13" s="63">
        <f t="shared" si="2"/>
        <v>4.5660623380564438</v>
      </c>
      <c r="L13" s="214">
        <f>IF(AND(I13&gt;29,I14&gt;29), AVERAGE(K13:K14),"")</f>
        <v>4.7192417526409676</v>
      </c>
      <c r="M13" s="216">
        <f>IF(AND(I13&gt;29,I14&gt;29),(K13-L13)^2,"")</f>
        <v>2.3463933052457416E-2</v>
      </c>
      <c r="N13" s="218">
        <f>IF(AND(I13&gt;29,I14&gt;29),COUNT(K13:K14)-1,"")</f>
        <v>1</v>
      </c>
    </row>
    <row r="14" spans="1:14" x14ac:dyDescent="0.25">
      <c r="A14" s="220"/>
      <c r="B14" s="54">
        <v>6</v>
      </c>
      <c r="C14" s="55">
        <v>3</v>
      </c>
      <c r="D14" s="55">
        <v>2</v>
      </c>
      <c r="E14" s="55">
        <v>162</v>
      </c>
      <c r="F14" s="55">
        <v>4</v>
      </c>
      <c r="G14" s="55">
        <v>2</v>
      </c>
      <c r="H14" s="55">
        <v>2</v>
      </c>
      <c r="I14" s="64">
        <f t="shared" si="1"/>
        <v>164</v>
      </c>
      <c r="J14" s="57">
        <f t="shared" si="0"/>
        <v>74545.45454545453</v>
      </c>
      <c r="K14" s="58">
        <f t="shared" si="2"/>
        <v>4.8724211672254913</v>
      </c>
      <c r="L14" s="215"/>
      <c r="M14" s="217"/>
      <c r="N14" s="219"/>
    </row>
    <row r="15" spans="1:14" x14ac:dyDescent="0.25">
      <c r="A15" s="220" t="s">
        <v>301</v>
      </c>
      <c r="B15" s="59">
        <v>7</v>
      </c>
      <c r="C15" s="60">
        <v>3</v>
      </c>
      <c r="D15" s="60">
        <v>2</v>
      </c>
      <c r="E15" s="60">
        <v>219</v>
      </c>
      <c r="F15" s="60">
        <v>4</v>
      </c>
      <c r="G15" s="60">
        <v>2</v>
      </c>
      <c r="H15" s="60">
        <v>18</v>
      </c>
      <c r="I15" s="61">
        <f t="shared" si="1"/>
        <v>237</v>
      </c>
      <c r="J15" s="62">
        <f t="shared" si="0"/>
        <v>107727.27272727272</v>
      </c>
      <c r="K15" s="63">
        <f t="shared" si="2"/>
        <v>5.0323256651878978</v>
      </c>
      <c r="L15" s="214">
        <f>IF(AND(I15&gt;29,I16&gt;29), AVERAGE(K15:K16),"")</f>
        <v>4.983182394269468</v>
      </c>
      <c r="M15" s="216">
        <f>IF(AND(I15&gt;29,I16&gt;29),(K15-L15)^2,"")</f>
        <v>2.4150610765621928E-3</v>
      </c>
      <c r="N15" s="218">
        <f>IF(AND(I15&gt;29,I16&gt;29),COUNT(K15:K16)-1,"")</f>
        <v>1</v>
      </c>
    </row>
    <row r="16" spans="1:14" x14ac:dyDescent="0.25">
      <c r="A16" s="220"/>
      <c r="B16" s="54">
        <v>8</v>
      </c>
      <c r="C16" s="55">
        <v>3</v>
      </c>
      <c r="D16" s="55">
        <v>2</v>
      </c>
      <c r="E16" s="55">
        <v>170</v>
      </c>
      <c r="F16" s="55">
        <v>4</v>
      </c>
      <c r="G16" s="55">
        <v>2</v>
      </c>
      <c r="H16" s="55">
        <v>19</v>
      </c>
      <c r="I16" s="64">
        <f t="shared" si="1"/>
        <v>189</v>
      </c>
      <c r="J16" s="57">
        <f t="shared" si="0"/>
        <v>85909.090909090912</v>
      </c>
      <c r="K16" s="58">
        <f t="shared" si="2"/>
        <v>4.9340391233510381</v>
      </c>
      <c r="L16" s="215"/>
      <c r="M16" s="217"/>
      <c r="N16" s="219"/>
    </row>
    <row r="17" spans="1:14" x14ac:dyDescent="0.25">
      <c r="A17" s="220" t="s">
        <v>302</v>
      </c>
      <c r="B17" s="59">
        <v>9</v>
      </c>
      <c r="C17" s="60">
        <v>4</v>
      </c>
      <c r="D17" s="60">
        <v>2</v>
      </c>
      <c r="E17" s="60">
        <v>60</v>
      </c>
      <c r="F17" s="60">
        <v>5</v>
      </c>
      <c r="G17" s="60">
        <v>2</v>
      </c>
      <c r="H17" s="60">
        <v>6</v>
      </c>
      <c r="I17" s="61">
        <f t="shared" si="1"/>
        <v>66</v>
      </c>
      <c r="J17" s="62">
        <f t="shared" si="0"/>
        <v>299999.99999999994</v>
      </c>
      <c r="K17" s="63">
        <f t="shared" si="2"/>
        <v>5.4771212547196626</v>
      </c>
      <c r="L17" s="214">
        <f>IF(AND(I17&gt;29,I18&gt;29), AVERAGE(K17:K18),"")</f>
        <v>5.5562110895931518</v>
      </c>
      <c r="M17" s="216">
        <f>IF(AND(I17&gt;29,I18&gt;29),(K17-L17)^2,"")</f>
        <v>6.2552019803157879E-3</v>
      </c>
      <c r="N17" s="218">
        <f>IF(AND(I17&gt;29,I18&gt;29),COUNT(K17:K18)-1,"")</f>
        <v>1</v>
      </c>
    </row>
    <row r="18" spans="1:14" x14ac:dyDescent="0.25">
      <c r="A18" s="220"/>
      <c r="B18" s="54">
        <v>10</v>
      </c>
      <c r="C18" s="55">
        <v>4</v>
      </c>
      <c r="D18" s="55">
        <v>2</v>
      </c>
      <c r="E18" s="55">
        <v>83</v>
      </c>
      <c r="F18" s="55">
        <v>5</v>
      </c>
      <c r="G18" s="55">
        <v>2</v>
      </c>
      <c r="H18" s="55">
        <v>12</v>
      </c>
      <c r="I18" s="64">
        <f t="shared" si="1"/>
        <v>95</v>
      </c>
      <c r="J18" s="57">
        <f t="shared" si="0"/>
        <v>431818.18181818182</v>
      </c>
      <c r="K18" s="58">
        <f t="shared" si="2"/>
        <v>5.6353009244666419</v>
      </c>
      <c r="L18" s="215"/>
      <c r="M18" s="217"/>
      <c r="N18" s="219"/>
    </row>
    <row r="19" spans="1:14" x14ac:dyDescent="0.25">
      <c r="A19" s="220" t="s">
        <v>303</v>
      </c>
      <c r="B19" s="59">
        <v>11</v>
      </c>
      <c r="C19" s="60">
        <v>4</v>
      </c>
      <c r="D19" s="60">
        <v>2</v>
      </c>
      <c r="E19" s="60">
        <v>42</v>
      </c>
      <c r="F19" s="60">
        <v>5</v>
      </c>
      <c r="G19" s="60">
        <v>2</v>
      </c>
      <c r="H19" s="60">
        <v>7</v>
      </c>
      <c r="I19" s="61">
        <f t="shared" si="1"/>
        <v>49</v>
      </c>
      <c r="J19" s="62">
        <f t="shared" si="0"/>
        <v>222727.27272727271</v>
      </c>
      <c r="K19" s="63">
        <f t="shared" si="2"/>
        <v>5.3477733992063072</v>
      </c>
      <c r="L19" s="214">
        <f>IF(AND(I19&gt;29,I20&gt;29), AVERAGE(K19:K20),"")</f>
        <v>5.3292816160797223</v>
      </c>
      <c r="M19" s="216">
        <f>IF(AND(I19&gt;29,I20&gt;29),(K19-L19)^2,"")</f>
        <v>3.419460432006518E-4</v>
      </c>
      <c r="N19" s="218">
        <f>IF(AND(I19&gt;29,I20&gt;29),COUNT(K19:K20)-1,"")</f>
        <v>1</v>
      </c>
    </row>
    <row r="20" spans="1:14" x14ac:dyDescent="0.25">
      <c r="A20" s="220"/>
      <c r="B20" s="54">
        <v>12</v>
      </c>
      <c r="C20" s="55">
        <v>4</v>
      </c>
      <c r="D20" s="55">
        <v>2</v>
      </c>
      <c r="E20" s="55">
        <v>40</v>
      </c>
      <c r="F20" s="55">
        <v>5</v>
      </c>
      <c r="G20" s="55">
        <v>2</v>
      </c>
      <c r="H20" s="55">
        <v>5</v>
      </c>
      <c r="I20" s="64">
        <f t="shared" si="1"/>
        <v>45</v>
      </c>
      <c r="J20" s="57">
        <f t="shared" si="0"/>
        <v>204545.45454545453</v>
      </c>
      <c r="K20" s="58">
        <f t="shared" si="2"/>
        <v>5.3107898329531373</v>
      </c>
      <c r="L20" s="215"/>
      <c r="M20" s="217"/>
      <c r="N20" s="219"/>
    </row>
    <row r="21" spans="1:14" x14ac:dyDescent="0.25">
      <c r="A21" s="220" t="s">
        <v>304</v>
      </c>
      <c r="B21" s="59">
        <v>13</v>
      </c>
      <c r="C21" s="60">
        <v>1</v>
      </c>
      <c r="D21" s="60">
        <v>3</v>
      </c>
      <c r="E21" s="60">
        <v>68</v>
      </c>
      <c r="F21" s="60"/>
      <c r="G21" s="60"/>
      <c r="H21" s="60"/>
      <c r="I21" s="61">
        <f t="shared" si="1"/>
        <v>68</v>
      </c>
      <c r="J21" s="62">
        <f t="shared" si="0"/>
        <v>226.66666666666669</v>
      </c>
      <c r="K21" s="63">
        <f t="shared" si="2"/>
        <v>2.355387657986574</v>
      </c>
      <c r="L21" s="214">
        <f>IF(AND(I21&gt;29,I22&gt;29), AVERAGE(K21:K22),"")</f>
        <v>2.2705121174742429</v>
      </c>
      <c r="M21" s="216">
        <f>IF(AND(I21&gt;29,I22&gt;29),(K21-L21)^2,"")</f>
        <v>7.2038573772603663E-3</v>
      </c>
      <c r="N21" s="218">
        <f>IF(AND(I21&gt;29,I22&gt;29),COUNT(K21:K22)-1,"")</f>
        <v>1</v>
      </c>
    </row>
    <row r="22" spans="1:14" x14ac:dyDescent="0.25">
      <c r="A22" s="220"/>
      <c r="B22" s="54">
        <v>14</v>
      </c>
      <c r="C22" s="55">
        <v>1</v>
      </c>
      <c r="D22" s="55">
        <v>3</v>
      </c>
      <c r="E22" s="55">
        <v>46</v>
      </c>
      <c r="F22" s="55"/>
      <c r="G22" s="55"/>
      <c r="H22" s="55"/>
      <c r="I22" s="64">
        <f t="shared" si="1"/>
        <v>46</v>
      </c>
      <c r="J22" s="57">
        <f t="shared" si="0"/>
        <v>153.33333333333334</v>
      </c>
      <c r="K22" s="58">
        <f t="shared" si="2"/>
        <v>2.1856365769619117</v>
      </c>
      <c r="L22" s="215"/>
      <c r="M22" s="217"/>
      <c r="N22" s="219"/>
    </row>
    <row r="23" spans="1:14" x14ac:dyDescent="0.25">
      <c r="A23" s="220" t="s">
        <v>309</v>
      </c>
      <c r="B23" s="59">
        <v>15</v>
      </c>
      <c r="C23" s="60">
        <v>4</v>
      </c>
      <c r="D23" s="60">
        <v>2</v>
      </c>
      <c r="E23" s="60">
        <v>39</v>
      </c>
      <c r="F23" s="60">
        <v>5</v>
      </c>
      <c r="G23" s="60">
        <v>2</v>
      </c>
      <c r="H23" s="60">
        <v>2</v>
      </c>
      <c r="I23" s="61">
        <f t="shared" si="1"/>
        <v>41</v>
      </c>
      <c r="J23" s="62">
        <f t="shared" si="0"/>
        <v>186363.63636363632</v>
      </c>
      <c r="K23" s="63">
        <f t="shared" si="2"/>
        <v>5.2703611758975288</v>
      </c>
      <c r="L23" s="214">
        <f>IF(AND(I23&gt;29,I24&gt;29), AVERAGE(K23:K24),"")</f>
        <v>5.3601650922867883</v>
      </c>
      <c r="M23" s="216">
        <f>IF(AND(I23&gt;29,I24&gt;29),(K23-L23)^2,"")</f>
        <v>8.0647433988491005E-3</v>
      </c>
      <c r="N23" s="218">
        <f>IF(AND(I23&gt;29,I24&gt;29),COUNT(K23:K24)-1,"")</f>
        <v>1</v>
      </c>
    </row>
    <row r="24" spans="1:14" x14ac:dyDescent="0.25">
      <c r="A24" s="220"/>
      <c r="B24" s="54">
        <v>16</v>
      </c>
      <c r="C24" s="55">
        <v>4</v>
      </c>
      <c r="D24" s="55">
        <v>2</v>
      </c>
      <c r="E24" s="55">
        <v>52</v>
      </c>
      <c r="F24" s="55">
        <v>5</v>
      </c>
      <c r="G24" s="55">
        <v>2</v>
      </c>
      <c r="H24" s="55">
        <v>10</v>
      </c>
      <c r="I24" s="64">
        <f t="shared" si="1"/>
        <v>62</v>
      </c>
      <c r="J24" s="57">
        <f t="shared" si="0"/>
        <v>281818.18181818182</v>
      </c>
      <c r="K24" s="58">
        <f t="shared" si="2"/>
        <v>5.4499690086760477</v>
      </c>
      <c r="L24" s="215"/>
      <c r="M24" s="217"/>
      <c r="N24" s="219"/>
    </row>
    <row r="25" spans="1:14" x14ac:dyDescent="0.25">
      <c r="A25" s="220" t="s">
        <v>306</v>
      </c>
      <c r="B25" s="59">
        <v>17</v>
      </c>
      <c r="C25" s="60">
        <v>5</v>
      </c>
      <c r="D25" s="60">
        <v>2</v>
      </c>
      <c r="E25" s="60">
        <v>77</v>
      </c>
      <c r="F25" s="60">
        <v>6</v>
      </c>
      <c r="G25" s="60">
        <v>2</v>
      </c>
      <c r="H25" s="60">
        <v>10</v>
      </c>
      <c r="I25" s="61">
        <f t="shared" si="1"/>
        <v>87</v>
      </c>
      <c r="J25" s="62">
        <f t="shared" si="0"/>
        <v>3954545.4545454541</v>
      </c>
      <c r="K25" s="63">
        <f t="shared" si="2"/>
        <v>6.5970965717964125</v>
      </c>
      <c r="L25" s="214">
        <f>IF(AND(I25&gt;29,I26&gt;29), AVERAGE(K25:K26),"")</f>
        <v>6.7080209466045906</v>
      </c>
      <c r="M25" s="216">
        <f>IF(AND(I25&gt;29,I26&gt;29),(K25-L25)^2,"")</f>
        <v>1.2304216926585169E-2</v>
      </c>
      <c r="N25" s="218">
        <f>IF(AND(I25&gt;29,I26&gt;29),COUNT(K25:K26)-1,"")</f>
        <v>1</v>
      </c>
    </row>
    <row r="26" spans="1:14" x14ac:dyDescent="0.25">
      <c r="A26" s="220"/>
      <c r="B26" s="54">
        <v>18</v>
      </c>
      <c r="C26" s="55">
        <v>5</v>
      </c>
      <c r="D26" s="55">
        <v>2</v>
      </c>
      <c r="E26" s="55">
        <v>134</v>
      </c>
      <c r="F26" s="55">
        <v>6</v>
      </c>
      <c r="G26" s="55">
        <v>2</v>
      </c>
      <c r="H26" s="55">
        <v>11</v>
      </c>
      <c r="I26" s="64">
        <f t="shared" si="1"/>
        <v>145</v>
      </c>
      <c r="J26" s="57">
        <f t="shared" si="0"/>
        <v>6590909.0909090908</v>
      </c>
      <c r="K26" s="58">
        <f t="shared" si="2"/>
        <v>6.8189453214127687</v>
      </c>
      <c r="L26" s="215"/>
      <c r="M26" s="217"/>
      <c r="N26" s="219"/>
    </row>
    <row r="27" spans="1:14" x14ac:dyDescent="0.25">
      <c r="A27" s="220" t="s">
        <v>307</v>
      </c>
      <c r="B27" s="49">
        <v>19</v>
      </c>
      <c r="C27" s="50">
        <v>4</v>
      </c>
      <c r="D27" s="50">
        <v>2</v>
      </c>
      <c r="E27" s="50">
        <v>151</v>
      </c>
      <c r="F27" s="50">
        <v>5</v>
      </c>
      <c r="G27" s="50">
        <v>2</v>
      </c>
      <c r="H27" s="50">
        <v>12</v>
      </c>
      <c r="I27" s="51">
        <f t="shared" si="1"/>
        <v>163</v>
      </c>
      <c r="J27" s="52">
        <f t="shared" si="0"/>
        <v>740909.09090909082</v>
      </c>
      <c r="K27" s="53">
        <f t="shared" si="2"/>
        <v>5.8697649235817515</v>
      </c>
      <c r="L27" s="224">
        <f>IF(AND(I27&gt;29,I28&gt;29), AVERAGE(K27:K28),"")</f>
        <v>5.9703210034203984</v>
      </c>
      <c r="M27" s="216">
        <f>IF(AND(I27&gt;29,I28&gt;29),(K27-L27)^2,"")</f>
        <v>1.0111525192516329E-2</v>
      </c>
      <c r="N27" s="227">
        <f>IF(AND(I27&gt;29,I28&gt;29),COUNT(K27:K28)-1,"")</f>
        <v>1</v>
      </c>
    </row>
    <row r="28" spans="1:14" ht="13.8" thickBot="1" x14ac:dyDescent="0.3">
      <c r="A28" s="223"/>
      <c r="B28" s="65">
        <v>20</v>
      </c>
      <c r="C28" s="66">
        <v>4</v>
      </c>
      <c r="D28" s="66">
        <v>2</v>
      </c>
      <c r="E28" s="66">
        <v>216</v>
      </c>
      <c r="F28" s="66">
        <v>5</v>
      </c>
      <c r="G28" s="66">
        <v>2</v>
      </c>
      <c r="H28" s="66">
        <v>43</v>
      </c>
      <c r="I28" s="67">
        <f t="shared" si="1"/>
        <v>259</v>
      </c>
      <c r="J28" s="68">
        <f t="shared" si="0"/>
        <v>1177272.7272727273</v>
      </c>
      <c r="K28" s="69">
        <f t="shared" si="2"/>
        <v>6.0708770832590453</v>
      </c>
      <c r="L28" s="225"/>
      <c r="M28" s="226"/>
      <c r="N28" s="228"/>
    </row>
    <row r="29" spans="1:14" ht="13.8" thickBot="1" x14ac:dyDescent="0.3">
      <c r="L29" s="38" t="s">
        <v>106</v>
      </c>
      <c r="M29" s="70">
        <f>SUM(M9:M28)</f>
        <v>8.7435455389257552E-2</v>
      </c>
      <c r="N29" s="71">
        <f>SUM(N9:N28)</f>
        <v>10</v>
      </c>
    </row>
    <row r="30" spans="1:14" ht="13.8" thickBot="1" x14ac:dyDescent="0.3">
      <c r="A30" s="72" t="s">
        <v>95</v>
      </c>
      <c r="I30" s="73"/>
      <c r="J30" s="74"/>
      <c r="K30" s="75"/>
      <c r="L30" s="38" t="s">
        <v>110</v>
      </c>
      <c r="M30" s="76">
        <f>2*M29</f>
        <v>0.1748709107785151</v>
      </c>
    </row>
    <row r="31" spans="1:14" ht="13.8" thickBot="1" x14ac:dyDescent="0.3">
      <c r="A31" s="222" t="s">
        <v>52</v>
      </c>
      <c r="B31" s="222"/>
      <c r="C31" s="222"/>
      <c r="D31" s="222"/>
      <c r="E31" s="222"/>
      <c r="F31" s="222"/>
      <c r="G31" s="222"/>
      <c r="H31" s="222"/>
      <c r="I31" s="77"/>
      <c r="J31" s="74"/>
      <c r="K31" s="78"/>
    </row>
    <row r="32" spans="1:14" ht="15.6" x14ac:dyDescent="0.35">
      <c r="A32" s="222"/>
      <c r="B32" s="222"/>
      <c r="C32" s="222"/>
      <c r="D32" s="222"/>
      <c r="E32" s="222"/>
      <c r="F32" s="222"/>
      <c r="G32" s="222"/>
      <c r="H32" s="222"/>
      <c r="I32" s="77"/>
      <c r="J32" s="79"/>
      <c r="K32" s="79"/>
      <c r="M32" s="80" t="s">
        <v>107</v>
      </c>
    </row>
    <row r="33" spans="1:13" ht="13.8" thickBot="1" x14ac:dyDescent="0.3">
      <c r="A33" s="222"/>
      <c r="B33" s="222"/>
      <c r="C33" s="222"/>
      <c r="D33" s="222"/>
      <c r="E33" s="222"/>
      <c r="F33" s="222"/>
      <c r="G33" s="222"/>
      <c r="H33" s="222"/>
      <c r="M33" s="81">
        <f>(M30/N29)^0.5</f>
        <v>0.13223876541261079</v>
      </c>
    </row>
    <row r="34" spans="1:13" x14ac:dyDescent="0.25">
      <c r="A34" s="222"/>
      <c r="B34" s="222"/>
      <c r="C34" s="222"/>
      <c r="D34" s="222"/>
      <c r="E34" s="222"/>
      <c r="F34" s="222"/>
      <c r="G34" s="222"/>
      <c r="H34" s="222"/>
      <c r="J34" s="40"/>
      <c r="K34" s="82"/>
    </row>
    <row r="35" spans="1:13" x14ac:dyDescent="0.25">
      <c r="A35" s="222"/>
      <c r="B35" s="222"/>
      <c r="C35" s="222"/>
      <c r="D35" s="222"/>
      <c r="E35" s="222"/>
      <c r="F35" s="222"/>
      <c r="G35" s="222"/>
      <c r="H35" s="222"/>
      <c r="J35" s="73"/>
      <c r="K35" s="83"/>
    </row>
    <row r="36" spans="1:13" x14ac:dyDescent="0.25">
      <c r="A36" s="222"/>
      <c r="B36" s="222"/>
      <c r="C36" s="222"/>
      <c r="D36" s="222"/>
      <c r="E36" s="222"/>
      <c r="F36" s="222"/>
      <c r="G36" s="222"/>
      <c r="H36" s="222"/>
      <c r="K36" s="154"/>
      <c r="L36" s="154"/>
      <c r="M36" s="154"/>
    </row>
    <row r="37" spans="1:13" x14ac:dyDescent="0.25">
      <c r="A37" s="222"/>
      <c r="B37" s="222"/>
      <c r="C37" s="222"/>
      <c r="D37" s="222"/>
      <c r="E37" s="222"/>
      <c r="F37" s="222"/>
      <c r="G37" s="222"/>
      <c r="H37" s="222"/>
      <c r="K37" s="154"/>
      <c r="L37" s="154"/>
      <c r="M37" s="154"/>
    </row>
    <row r="39" spans="1:13" x14ac:dyDescent="0.25">
      <c r="A39" t="s">
        <v>102</v>
      </c>
      <c r="B39"/>
    </row>
    <row r="40" spans="1:13" ht="15.6" x14ac:dyDescent="0.25">
      <c r="A40" t="s">
        <v>3</v>
      </c>
      <c r="B40" t="s">
        <v>96</v>
      </c>
    </row>
    <row r="41" spans="1:13" x14ac:dyDescent="0.25">
      <c r="A41" s="3" t="s">
        <v>16</v>
      </c>
      <c r="B41" t="s">
        <v>97</v>
      </c>
    </row>
    <row r="42" spans="1:13" x14ac:dyDescent="0.25">
      <c r="A42" s="153" t="s">
        <v>17</v>
      </c>
      <c r="B42" s="153" t="s">
        <v>98</v>
      </c>
    </row>
    <row r="43" spans="1:13" x14ac:dyDescent="0.25">
      <c r="A43" t="s">
        <v>2</v>
      </c>
      <c r="B43" s="3" t="s">
        <v>99</v>
      </c>
    </row>
    <row r="44" spans="1:13" x14ac:dyDescent="0.25">
      <c r="A44" t="s">
        <v>103</v>
      </c>
      <c r="B44" s="3" t="s">
        <v>100</v>
      </c>
    </row>
    <row r="45" spans="1:13" ht="15.6" x14ac:dyDescent="0.35">
      <c r="A45" t="s">
        <v>104</v>
      </c>
      <c r="B45" t="s">
        <v>101</v>
      </c>
    </row>
  </sheetData>
  <sheetProtection selectLockedCells="1"/>
  <mergeCells count="46">
    <mergeCell ref="B3:D3"/>
    <mergeCell ref="B4:D4"/>
    <mergeCell ref="F4:I4"/>
    <mergeCell ref="B5:D5"/>
    <mergeCell ref="B6:D6"/>
    <mergeCell ref="L9:L10"/>
    <mergeCell ref="M9:M10"/>
    <mergeCell ref="N9:N10"/>
    <mergeCell ref="A11:A12"/>
    <mergeCell ref="L11:L12"/>
    <mergeCell ref="M11:M12"/>
    <mergeCell ref="N11:N12"/>
    <mergeCell ref="A9:A10"/>
    <mergeCell ref="A13:A14"/>
    <mergeCell ref="L13:L14"/>
    <mergeCell ref="M13:M14"/>
    <mergeCell ref="N13:N14"/>
    <mergeCell ref="A15:A16"/>
    <mergeCell ref="L15:L16"/>
    <mergeCell ref="M15:M16"/>
    <mergeCell ref="N15:N16"/>
    <mergeCell ref="A17:A18"/>
    <mergeCell ref="L17:L18"/>
    <mergeCell ref="M17:M18"/>
    <mergeCell ref="N17:N18"/>
    <mergeCell ref="A19:A20"/>
    <mergeCell ref="L19:L20"/>
    <mergeCell ref="M19:M20"/>
    <mergeCell ref="N19:N20"/>
    <mergeCell ref="A21:A22"/>
    <mergeCell ref="L21:L22"/>
    <mergeCell ref="M21:M22"/>
    <mergeCell ref="N21:N22"/>
    <mergeCell ref="A23:A24"/>
    <mergeCell ref="L23:L24"/>
    <mergeCell ref="M23:M24"/>
    <mergeCell ref="N23:N24"/>
    <mergeCell ref="A31:H37"/>
    <mergeCell ref="A25:A26"/>
    <mergeCell ref="L25:L26"/>
    <mergeCell ref="M25:M26"/>
    <mergeCell ref="N25:N26"/>
    <mergeCell ref="A27:A28"/>
    <mergeCell ref="L27:L28"/>
    <mergeCell ref="M27:M28"/>
    <mergeCell ref="N27:N28"/>
  </mergeCells>
  <conditionalFormatting sqref="I9:I28">
    <cfRule type="cellIs" dxfId="0" priority="1" operator="lessThan">
      <formula>30</formula>
    </cfRule>
  </conditionalFormatting>
  <pageMargins left="0.78740157499999996" right="0.78740157499999996" top="0.984251969" bottom="0.984251969" header="0.4921259845" footer="0.4921259845"/>
  <pageSetup paperSize="9" scale="4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5" tint="-0.249977111117893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337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338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411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3</v>
      </c>
      <c r="D9" s="32">
        <f>14+16+9+14+11+10</f>
        <v>74</v>
      </c>
      <c r="E9" s="32">
        <v>5</v>
      </c>
      <c r="F9" s="32">
        <v>3</v>
      </c>
      <c r="G9" s="32">
        <f>3+2+1+1+5</f>
        <v>12</v>
      </c>
      <c r="H9" s="5">
        <f>G9+D9</f>
        <v>86</v>
      </c>
      <c r="I9" s="33">
        <f t="shared" ref="I9:I19" si="0">IF(H9&gt;29,H9/(C9+0.1*F9)*10^(B9),"")</f>
        <v>260606.06060606064</v>
      </c>
      <c r="J9" s="7">
        <f>IF(H9&gt;29,LOG10(I9),"")</f>
        <v>5.4159845113656804</v>
      </c>
      <c r="K9" s="34">
        <f>IF(H9&gt;29,(J9-$J$21)^2,"")</f>
        <v>6.1380341859963337E-5</v>
      </c>
    </row>
    <row r="10" spans="1:11" x14ac:dyDescent="0.25">
      <c r="A10" s="9">
        <v>2</v>
      </c>
      <c r="B10" s="32">
        <v>4</v>
      </c>
      <c r="C10" s="32">
        <v>3</v>
      </c>
      <c r="D10" s="29">
        <f>13+12+10+11+10+14</f>
        <v>70</v>
      </c>
      <c r="E10" s="32">
        <v>5</v>
      </c>
      <c r="F10" s="32">
        <v>3</v>
      </c>
      <c r="G10" s="29">
        <f>2+1+1+2+3</f>
        <v>9</v>
      </c>
      <c r="H10" s="5">
        <f t="shared" ref="H10:H19" si="1">G10+D10</f>
        <v>79</v>
      </c>
      <c r="I10" s="6">
        <f t="shared" si="0"/>
        <v>239393.93939393942</v>
      </c>
      <c r="J10" s="7">
        <f t="shared" ref="J10:J19" si="2">IF(H10&gt;29,LOG10(I10),"")</f>
        <v>5.3791131514125539</v>
      </c>
      <c r="K10" s="8">
        <f t="shared" ref="K10:K19" si="3">IF(H10&gt;29,(J10-$J$21)^2,"")</f>
        <v>8.4313570902073704E-4</v>
      </c>
    </row>
    <row r="11" spans="1:11" x14ac:dyDescent="0.25">
      <c r="A11" s="9">
        <v>3</v>
      </c>
      <c r="B11" s="32">
        <v>4</v>
      </c>
      <c r="C11" s="32">
        <v>3</v>
      </c>
      <c r="D11" s="29">
        <f>8+6+4+13+9+9</f>
        <v>49</v>
      </c>
      <c r="E11" s="32">
        <v>5</v>
      </c>
      <c r="F11" s="32">
        <v>3</v>
      </c>
      <c r="G11" s="29">
        <f>1+1+3+1</f>
        <v>6</v>
      </c>
      <c r="H11" s="5">
        <f>G11+D11</f>
        <v>55</v>
      </c>
      <c r="I11" s="6">
        <f>IF(H11&gt;29,H11/(C11+0.1*F11)*10^(B11),"")</f>
        <v>166666.66666666669</v>
      </c>
      <c r="J11" s="7">
        <f t="shared" si="2"/>
        <v>5.2218487496163561</v>
      </c>
      <c r="K11" s="8">
        <f>IF(H11&gt;29,(J11-$J$21)^2,"")</f>
        <v>3.4708137500579085E-2</v>
      </c>
    </row>
    <row r="12" spans="1:11" x14ac:dyDescent="0.25">
      <c r="A12" s="9">
        <v>4</v>
      </c>
      <c r="B12" s="32">
        <v>4</v>
      </c>
      <c r="C12" s="32">
        <v>3</v>
      </c>
      <c r="D12" s="29">
        <f>18+9+11+10+11+10</f>
        <v>69</v>
      </c>
      <c r="E12" s="32">
        <v>5</v>
      </c>
      <c r="F12" s="32">
        <v>3</v>
      </c>
      <c r="G12" s="29">
        <f>1+3+2+1+1+1</f>
        <v>9</v>
      </c>
      <c r="H12" s="10">
        <f t="shared" si="1"/>
        <v>78</v>
      </c>
      <c r="I12" s="6">
        <f t="shared" si="0"/>
        <v>236363.63636363635</v>
      </c>
      <c r="J12" s="7">
        <f t="shared" si="2"/>
        <v>5.3735806628125928</v>
      </c>
      <c r="K12" s="8">
        <f t="shared" si="3"/>
        <v>1.1950356604723395E-3</v>
      </c>
    </row>
    <row r="13" spans="1:11" x14ac:dyDescent="0.25">
      <c r="A13" s="9">
        <v>5</v>
      </c>
      <c r="B13" s="32">
        <v>4</v>
      </c>
      <c r="C13" s="32">
        <v>3</v>
      </c>
      <c r="D13" s="29">
        <f>12+10+14+20+14+11</f>
        <v>81</v>
      </c>
      <c r="E13" s="32">
        <v>5</v>
      </c>
      <c r="F13" s="32">
        <v>3</v>
      </c>
      <c r="G13" s="29">
        <f>1+2+2+2+1</f>
        <v>8</v>
      </c>
      <c r="H13" s="10">
        <f t="shared" si="1"/>
        <v>89</v>
      </c>
      <c r="I13" s="6">
        <f t="shared" si="0"/>
        <v>269696.96969696973</v>
      </c>
      <c r="J13" s="7">
        <f t="shared" si="2"/>
        <v>5.4308760667670253</v>
      </c>
      <c r="K13" s="8">
        <f t="shared" si="3"/>
        <v>5.1647635449632106E-4</v>
      </c>
    </row>
    <row r="14" spans="1:11" x14ac:dyDescent="0.25">
      <c r="A14" s="9">
        <v>6</v>
      </c>
      <c r="B14" s="32">
        <v>4</v>
      </c>
      <c r="C14" s="32">
        <v>3</v>
      </c>
      <c r="D14" s="29">
        <f>20+14+19+10+8+11</f>
        <v>82</v>
      </c>
      <c r="E14" s="32">
        <v>5</v>
      </c>
      <c r="F14" s="32">
        <v>3</v>
      </c>
      <c r="G14" s="29">
        <f>2+1+1+3</f>
        <v>7</v>
      </c>
      <c r="H14" s="10">
        <f t="shared" si="1"/>
        <v>89</v>
      </c>
      <c r="I14" s="6">
        <f t="shared" si="0"/>
        <v>269696.96969696973</v>
      </c>
      <c r="J14" s="7">
        <f t="shared" si="2"/>
        <v>5.4308760667670253</v>
      </c>
      <c r="K14" s="8">
        <f t="shared" si="3"/>
        <v>5.1647635449632106E-4</v>
      </c>
    </row>
    <row r="15" spans="1:11" x14ac:dyDescent="0.25">
      <c r="A15" s="9">
        <v>7</v>
      </c>
      <c r="B15" s="32">
        <v>4</v>
      </c>
      <c r="C15" s="32">
        <v>3</v>
      </c>
      <c r="D15" s="29">
        <f>16+12+14+10+11+12</f>
        <v>75</v>
      </c>
      <c r="E15" s="32">
        <v>5</v>
      </c>
      <c r="F15" s="32">
        <v>3</v>
      </c>
      <c r="G15" s="29">
        <f>3+1+1+1+4</f>
        <v>10</v>
      </c>
      <c r="H15" s="10">
        <f t="shared" si="1"/>
        <v>85</v>
      </c>
      <c r="I15" s="6">
        <f t="shared" si="0"/>
        <v>257575.75757575757</v>
      </c>
      <c r="J15" s="7">
        <f t="shared" si="2"/>
        <v>5.4109049858364049</v>
      </c>
      <c r="K15" s="8">
        <f t="shared" si="3"/>
        <v>7.5902189670440699E-6</v>
      </c>
    </row>
    <row r="16" spans="1:11" x14ac:dyDescent="0.25">
      <c r="A16" s="9">
        <v>8</v>
      </c>
      <c r="B16" s="32">
        <v>4</v>
      </c>
      <c r="C16" s="32">
        <v>3</v>
      </c>
      <c r="D16" s="29">
        <f>21+10+11+14+11+14</f>
        <v>81</v>
      </c>
      <c r="E16" s="32">
        <v>5</v>
      </c>
      <c r="F16" s="32">
        <v>3</v>
      </c>
      <c r="G16" s="29">
        <f>2+1+2+5</f>
        <v>10</v>
      </c>
      <c r="H16" s="10">
        <f t="shared" si="1"/>
        <v>91</v>
      </c>
      <c r="I16" s="6">
        <f t="shared" si="0"/>
        <v>275757.5757575758</v>
      </c>
      <c r="J16" s="7">
        <f t="shared" si="2"/>
        <v>5.4405274524432059</v>
      </c>
      <c r="K16" s="8">
        <f t="shared" si="3"/>
        <v>1.0483026234116412E-3</v>
      </c>
    </row>
    <row r="17" spans="1:11" x14ac:dyDescent="0.25">
      <c r="A17" s="9">
        <v>9</v>
      </c>
      <c r="B17" s="32">
        <v>4</v>
      </c>
      <c r="C17" s="32">
        <v>3</v>
      </c>
      <c r="D17" s="29">
        <f>13+12+14+16+18+20</f>
        <v>93</v>
      </c>
      <c r="E17" s="32">
        <v>5</v>
      </c>
      <c r="F17" s="32">
        <v>3</v>
      </c>
      <c r="G17" s="29">
        <f>1+3+4+1</f>
        <v>9</v>
      </c>
      <c r="H17" s="10">
        <f t="shared" si="1"/>
        <v>102</v>
      </c>
      <c r="I17" s="6">
        <f t="shared" si="0"/>
        <v>309090.90909090912</v>
      </c>
      <c r="J17" s="7">
        <f t="shared" si="2"/>
        <v>5.49008623188403</v>
      </c>
      <c r="K17" s="8">
        <f t="shared" si="3"/>
        <v>6.7135541851004914E-3</v>
      </c>
    </row>
    <row r="18" spans="1:11" x14ac:dyDescent="0.25">
      <c r="A18" s="9">
        <v>10</v>
      </c>
      <c r="B18" s="32">
        <v>4</v>
      </c>
      <c r="C18" s="32">
        <v>3</v>
      </c>
      <c r="D18" s="29">
        <f>18+24+26+14+16+18</f>
        <v>116</v>
      </c>
      <c r="E18" s="32">
        <v>5</v>
      </c>
      <c r="F18" s="32">
        <v>3</v>
      </c>
      <c r="G18" s="29">
        <f>3+2+4+1</f>
        <v>10</v>
      </c>
      <c r="H18" s="10">
        <f t="shared" si="1"/>
        <v>126</v>
      </c>
      <c r="I18" s="6">
        <f t="shared" si="0"/>
        <v>381818.18181818188</v>
      </c>
      <c r="J18" s="7">
        <f t="shared" si="2"/>
        <v>5.5818566052396754</v>
      </c>
      <c r="K18" s="8">
        <f t="shared" si="3"/>
        <v>3.0174001854330341E-2</v>
      </c>
    </row>
    <row r="19" spans="1:11" ht="13.8" thickBot="1" x14ac:dyDescent="0.3">
      <c r="A19" s="11">
        <v>11</v>
      </c>
      <c r="B19" s="156">
        <v>4</v>
      </c>
      <c r="C19" s="156">
        <v>3</v>
      </c>
      <c r="D19" s="157">
        <f>10+12+8+9+11+12</f>
        <v>62</v>
      </c>
      <c r="E19" s="156">
        <v>5</v>
      </c>
      <c r="F19" s="156">
        <v>3</v>
      </c>
      <c r="G19" s="30">
        <f>1+1+1+2+1</f>
        <v>6</v>
      </c>
      <c r="H19" s="12">
        <f t="shared" si="1"/>
        <v>68</v>
      </c>
      <c r="I19" s="27">
        <f t="shared" si="0"/>
        <v>206060.60606060605</v>
      </c>
      <c r="J19" s="13">
        <f t="shared" si="2"/>
        <v>5.3139949728283487</v>
      </c>
      <c r="K19" s="25">
        <f t="shared" si="3"/>
        <v>8.8651598455637675E-3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261157.02479338844</v>
      </c>
      <c r="J21" s="17">
        <f>AVERAGE(J9:J19)</f>
        <v>5.4081499506338995</v>
      </c>
      <c r="K21" s="18">
        <f>SUM(K9:K19)</f>
        <v>8.4649250648298063E-2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55028.470497758419</v>
      </c>
      <c r="J22" s="31">
        <f>STDEV(J9:J19)</f>
        <v>9.2005027388886773E-2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21.071028260217624</v>
      </c>
      <c r="J23" s="19">
        <f>J22/J21*100</f>
        <v>1.7012292230932444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9.2005027388886773E-2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29" spans="1:11" x14ac:dyDescent="0.25">
      <c r="J29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{F2D53D19-6685-466D-8ED0-CAEF79F4543A}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2D53D19-6685-466D-8ED0-CAEF79F4543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5" tint="-0.249977111117893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441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337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341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411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>
        <v>1</v>
      </c>
      <c r="B9" s="32">
        <v>4</v>
      </c>
      <c r="C9" s="32">
        <v>3</v>
      </c>
      <c r="D9" s="32">
        <f>3+4+9+14+16+22</f>
        <v>68</v>
      </c>
      <c r="E9" s="32">
        <v>5</v>
      </c>
      <c r="F9" s="32">
        <v>3</v>
      </c>
      <c r="G9" s="32">
        <f>1+4+2</f>
        <v>7</v>
      </c>
      <c r="H9" s="5">
        <f>G9+D9</f>
        <v>75</v>
      </c>
      <c r="I9" s="33">
        <f t="shared" ref="I9:I19" si="0">IF(H9&gt;29,H9/(C9+0.1*F9)*10^(B9),"")</f>
        <v>227272.72727272729</v>
      </c>
      <c r="J9" s="7">
        <f>IF(H9&gt;29,LOG10(I9),"")</f>
        <v>5.356547323513813</v>
      </c>
      <c r="K9" s="34">
        <f>IF(H9&gt;29,(J9-$J$21)^2,"")</f>
        <v>1.107683333482832E-4</v>
      </c>
    </row>
    <row r="10" spans="1:11" x14ac:dyDescent="0.25">
      <c r="A10" s="9">
        <v>2</v>
      </c>
      <c r="B10" s="32">
        <v>4</v>
      </c>
      <c r="C10" s="32">
        <v>3</v>
      </c>
      <c r="D10" s="29">
        <f>7+11+6+16+11+19</f>
        <v>70</v>
      </c>
      <c r="E10" s="32">
        <v>5</v>
      </c>
      <c r="F10" s="32">
        <v>3</v>
      </c>
      <c r="G10" s="29">
        <f>1+1+2+1</f>
        <v>5</v>
      </c>
      <c r="H10" s="5">
        <f t="shared" ref="H10:H19" si="1">G10+D10</f>
        <v>75</v>
      </c>
      <c r="I10" s="6">
        <f t="shared" si="0"/>
        <v>227272.72727272729</v>
      </c>
      <c r="J10" s="7">
        <f t="shared" ref="J10:J19" si="2">IF(H10&gt;29,LOG10(I10),"")</f>
        <v>5.356547323513813</v>
      </c>
      <c r="K10" s="8">
        <f t="shared" ref="K10:K19" si="3">IF(H10&gt;29,(J10-$J$21)^2,"")</f>
        <v>1.107683333482832E-4</v>
      </c>
    </row>
    <row r="11" spans="1:11" x14ac:dyDescent="0.25">
      <c r="A11" s="9">
        <v>3</v>
      </c>
      <c r="B11" s="32">
        <v>4</v>
      </c>
      <c r="C11" s="32">
        <v>3</v>
      </c>
      <c r="D11" s="29">
        <f>4+4+5+14+11+10</f>
        <v>48</v>
      </c>
      <c r="E11" s="32">
        <v>5</v>
      </c>
      <c r="F11" s="32">
        <v>3</v>
      </c>
      <c r="G11" s="29">
        <f>1+2</f>
        <v>3</v>
      </c>
      <c r="H11" s="5">
        <f>G11+D11</f>
        <v>51</v>
      </c>
      <c r="I11" s="6">
        <f>IF(H11&gt;29,H11/(C11+0.1*F11)*10^(B11),"")</f>
        <v>154545.45454545456</v>
      </c>
      <c r="J11" s="7">
        <f t="shared" si="2"/>
        <v>5.1890562362200487</v>
      </c>
      <c r="K11" s="8">
        <f>IF(H11&gt;29,(J11-$J$21)^2,"")</f>
        <v>3.1689604005081189E-2</v>
      </c>
    </row>
    <row r="12" spans="1:11" x14ac:dyDescent="0.25">
      <c r="A12" s="9">
        <v>4</v>
      </c>
      <c r="B12" s="32">
        <v>4</v>
      </c>
      <c r="C12" s="32">
        <v>3</v>
      </c>
      <c r="D12" s="29">
        <f>12+11+10+18+14+11</f>
        <v>76</v>
      </c>
      <c r="E12" s="32">
        <v>5</v>
      </c>
      <c r="F12" s="32">
        <v>3</v>
      </c>
      <c r="G12" s="29">
        <f>1+3+2</f>
        <v>6</v>
      </c>
      <c r="H12" s="10">
        <f t="shared" si="1"/>
        <v>82</v>
      </c>
      <c r="I12" s="6">
        <f t="shared" si="0"/>
        <v>248484.84848484851</v>
      </c>
      <c r="J12" s="7">
        <f t="shared" si="2"/>
        <v>5.3952999125058296</v>
      </c>
      <c r="K12" s="8">
        <f t="shared" si="3"/>
        <v>7.9681633663455367E-4</v>
      </c>
    </row>
    <row r="13" spans="1:11" x14ac:dyDescent="0.25">
      <c r="A13" s="9">
        <v>5</v>
      </c>
      <c r="B13" s="32">
        <v>4</v>
      </c>
      <c r="C13" s="32">
        <v>3</v>
      </c>
      <c r="D13" s="29">
        <f>8+10+12+11+14+16</f>
        <v>71</v>
      </c>
      <c r="E13" s="32">
        <v>5</v>
      </c>
      <c r="F13" s="32">
        <v>2</v>
      </c>
      <c r="G13" s="29">
        <f>2+1</f>
        <v>3</v>
      </c>
      <c r="H13" s="10">
        <f t="shared" si="1"/>
        <v>74</v>
      </c>
      <c r="I13" s="6">
        <f t="shared" si="0"/>
        <v>231250</v>
      </c>
      <c r="J13" s="7">
        <f t="shared" si="2"/>
        <v>5.36408174141107</v>
      </c>
      <c r="K13" s="8">
        <f t="shared" si="3"/>
        <v>8.9415095432675831E-6</v>
      </c>
    </row>
    <row r="14" spans="1:11" x14ac:dyDescent="0.25">
      <c r="A14" s="9">
        <v>6</v>
      </c>
      <c r="B14" s="32">
        <v>4</v>
      </c>
      <c r="C14" s="32">
        <v>3</v>
      </c>
      <c r="D14" s="29">
        <f>18+11+12+11+14+20</f>
        <v>86</v>
      </c>
      <c r="E14" s="32">
        <v>5</v>
      </c>
      <c r="F14" s="32">
        <v>3</v>
      </c>
      <c r="G14" s="29">
        <f>3+1+4+1</f>
        <v>9</v>
      </c>
      <c r="H14" s="10">
        <f t="shared" si="1"/>
        <v>95</v>
      </c>
      <c r="I14" s="6">
        <f t="shared" si="0"/>
        <v>287878.7878787879</v>
      </c>
      <c r="J14" s="7">
        <f t="shared" si="2"/>
        <v>5.4592096654109605</v>
      </c>
      <c r="K14" s="8">
        <f t="shared" si="3"/>
        <v>8.4893536051950051E-3</v>
      </c>
    </row>
    <row r="15" spans="1:11" x14ac:dyDescent="0.25">
      <c r="A15" s="9">
        <v>7</v>
      </c>
      <c r="B15" s="32">
        <v>4</v>
      </c>
      <c r="C15" s="32">
        <v>3</v>
      </c>
      <c r="D15" s="29">
        <f>8+11+10+14+16+12</f>
        <v>71</v>
      </c>
      <c r="E15" s="32">
        <v>5</v>
      </c>
      <c r="F15" s="32">
        <v>3</v>
      </c>
      <c r="G15" s="29">
        <f>3+1+1+3+1</f>
        <v>9</v>
      </c>
      <c r="H15" s="10">
        <f t="shared" si="1"/>
        <v>80</v>
      </c>
      <c r="I15" s="6">
        <f t="shared" si="0"/>
        <v>242424.24242424243</v>
      </c>
      <c r="J15" s="7">
        <f t="shared" si="2"/>
        <v>5.3845760471140558</v>
      </c>
      <c r="K15" s="8">
        <f t="shared" si="3"/>
        <v>3.0639246665940025E-4</v>
      </c>
    </row>
    <row r="16" spans="1:11" x14ac:dyDescent="0.25">
      <c r="A16" s="9">
        <v>8</v>
      </c>
      <c r="B16" s="32">
        <v>4</v>
      </c>
      <c r="C16" s="32">
        <v>3</v>
      </c>
      <c r="D16" s="29">
        <f>11+10+9+11+14+6</f>
        <v>61</v>
      </c>
      <c r="E16" s="32">
        <v>5</v>
      </c>
      <c r="F16" s="32">
        <v>3</v>
      </c>
      <c r="G16" s="29">
        <f>2+1+3+1</f>
        <v>7</v>
      </c>
      <c r="H16" s="10">
        <f t="shared" si="1"/>
        <v>68</v>
      </c>
      <c r="I16" s="6">
        <f t="shared" si="0"/>
        <v>206060.60606060605</v>
      </c>
      <c r="J16" s="7">
        <f t="shared" si="2"/>
        <v>5.3139949728283487</v>
      </c>
      <c r="K16" s="8">
        <f t="shared" si="3"/>
        <v>2.817168383658425E-3</v>
      </c>
    </row>
    <row r="17" spans="1:11" x14ac:dyDescent="0.25">
      <c r="A17" s="9">
        <v>9</v>
      </c>
      <c r="B17" s="32">
        <v>4</v>
      </c>
      <c r="C17" s="32">
        <v>3</v>
      </c>
      <c r="D17" s="29">
        <f>11+10+16+19+10+18</f>
        <v>84</v>
      </c>
      <c r="E17" s="32">
        <v>5</v>
      </c>
      <c r="F17" s="32">
        <v>3</v>
      </c>
      <c r="G17" s="29">
        <f>3+2+3</f>
        <v>8</v>
      </c>
      <c r="H17" s="10">
        <f t="shared" si="1"/>
        <v>92</v>
      </c>
      <c r="I17" s="6">
        <f t="shared" si="0"/>
        <v>278787.87878787878</v>
      </c>
      <c r="J17" s="7">
        <f t="shared" si="2"/>
        <v>5.4452738874676676</v>
      </c>
      <c r="K17" s="8">
        <f t="shared" si="3"/>
        <v>6.1155387833765314E-3</v>
      </c>
    </row>
    <row r="18" spans="1:11" x14ac:dyDescent="0.25">
      <c r="A18" s="9">
        <v>10</v>
      </c>
      <c r="B18" s="32">
        <v>4</v>
      </c>
      <c r="C18" s="32">
        <v>3</v>
      </c>
      <c r="D18" s="29">
        <f>12+8+10+10+12+14</f>
        <v>66</v>
      </c>
      <c r="E18" s="32">
        <v>5</v>
      </c>
      <c r="F18" s="32">
        <v>3</v>
      </c>
      <c r="G18" s="29">
        <f>1+1+1+4+1+2</f>
        <v>10</v>
      </c>
      <c r="H18" s="10">
        <f t="shared" si="1"/>
        <v>76</v>
      </c>
      <c r="I18" s="6">
        <f t="shared" si="0"/>
        <v>230303.0303030303</v>
      </c>
      <c r="J18" s="7">
        <f t="shared" si="2"/>
        <v>5.3622996524029043</v>
      </c>
      <c r="K18" s="8">
        <f t="shared" si="3"/>
        <v>2.2775083122902656E-5</v>
      </c>
    </row>
    <row r="19" spans="1:11" ht="13.8" thickBot="1" x14ac:dyDescent="0.3">
      <c r="A19" s="11">
        <v>11</v>
      </c>
      <c r="B19" s="156">
        <v>4</v>
      </c>
      <c r="C19" s="156">
        <v>3</v>
      </c>
      <c r="D19" s="157">
        <f>12+11+9+11+16+15</f>
        <v>74</v>
      </c>
      <c r="E19" s="156">
        <v>5</v>
      </c>
      <c r="F19" s="156">
        <v>3</v>
      </c>
      <c r="G19" s="30">
        <f>3+2+1+3+2</f>
        <v>11</v>
      </c>
      <c r="H19" s="12">
        <f t="shared" si="1"/>
        <v>85</v>
      </c>
      <c r="I19" s="27">
        <f t="shared" si="0"/>
        <v>257575.75757575757</v>
      </c>
      <c r="J19" s="13">
        <f t="shared" si="2"/>
        <v>5.4109049858364049</v>
      </c>
      <c r="K19" s="25">
        <f t="shared" si="3"/>
        <v>1.9213326538901755E-3</v>
      </c>
    </row>
    <row r="20" spans="1:11" x14ac:dyDescent="0.25">
      <c r="A20" s="14"/>
      <c r="B20" s="158"/>
      <c r="C20" s="158"/>
      <c r="D20" s="158"/>
      <c r="E20" s="158"/>
      <c r="F20" s="158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235623.2782369146</v>
      </c>
      <c r="J21" s="17">
        <f>AVERAGE(J9:J19)</f>
        <v>5.3670719771113564</v>
      </c>
      <c r="K21" s="18">
        <f>SUM(K9:K19)</f>
        <v>5.2389459493858016E-2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35946.995097048639</v>
      </c>
      <c r="J22" s="31">
        <f>STDEV(J9:J19)</f>
        <v>7.2380563339793105E-2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15.256130619193167</v>
      </c>
      <c r="J23" s="19">
        <f>J22/J21*100</f>
        <v>1.3486042976220616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7.2380563339793105E-2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</row>
    <row r="30" spans="1:11" x14ac:dyDescent="0.25">
      <c r="A30" t="s">
        <v>102</v>
      </c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{E36C9A58-D03E-4916-A751-30217E95C7AF}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6C9A58-D03E-4916-A751-30217E95C7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7030A0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0.332031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314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342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4" t="s">
        <v>412</v>
      </c>
      <c r="C6" s="205"/>
      <c r="D6" s="206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4" t="s">
        <v>326</v>
      </c>
      <c r="B9" s="32">
        <v>3</v>
      </c>
      <c r="C9" s="32">
        <v>3</v>
      </c>
      <c r="D9" s="32">
        <f>64+72+69+160+174+158</f>
        <v>697</v>
      </c>
      <c r="E9" s="32">
        <v>4</v>
      </c>
      <c r="F9" s="32">
        <v>3</v>
      </c>
      <c r="G9" s="32">
        <f>8+7+11+15+24+17</f>
        <v>82</v>
      </c>
      <c r="H9" s="5">
        <f>G9+D9</f>
        <v>779</v>
      </c>
      <c r="I9" s="33">
        <f t="shared" ref="I9:I19" si="0">IF(H9&gt;29,H9/(C9+0.1*F9)*10^(B9),"")</f>
        <v>236060.60606060605</v>
      </c>
      <c r="J9" s="7">
        <f>IF(H9&gt;29,LOG10(I9),"")</f>
        <v>5.3730235177946772</v>
      </c>
      <c r="K9" s="34">
        <f t="shared" ref="K9:K19" si="1">IF(H9&gt;29,(J9-$J$21)^2,"")</f>
        <v>6.5541976141906353E-3</v>
      </c>
    </row>
    <row r="10" spans="1:11" x14ac:dyDescent="0.25">
      <c r="A10" s="9" t="s">
        <v>327</v>
      </c>
      <c r="B10" s="29">
        <v>4</v>
      </c>
      <c r="C10" s="29">
        <v>3</v>
      </c>
      <c r="D10" s="29">
        <f>38+39+29+27+26+29</f>
        <v>188</v>
      </c>
      <c r="E10" s="29">
        <v>5</v>
      </c>
      <c r="F10" s="29">
        <v>3</v>
      </c>
      <c r="G10" s="29">
        <f>6+3+4+3+7+5</f>
        <v>28</v>
      </c>
      <c r="H10" s="5">
        <f t="shared" ref="H10:H19" si="2">G10+D10</f>
        <v>216</v>
      </c>
      <c r="I10" s="6">
        <f t="shared" si="0"/>
        <v>654545.45454545459</v>
      </c>
      <c r="J10" s="7">
        <f t="shared" ref="J10:J19" si="3">IF(H10&gt;29,LOG10(I10),"")</f>
        <v>5.8159398112730436</v>
      </c>
      <c r="K10" s="8">
        <f t="shared" si="1"/>
        <v>0.13101380688755976</v>
      </c>
    </row>
    <row r="11" spans="1:11" x14ac:dyDescent="0.25">
      <c r="A11" s="4" t="s">
        <v>328</v>
      </c>
      <c r="B11" s="29">
        <v>3</v>
      </c>
      <c r="C11" s="29">
        <v>3</v>
      </c>
      <c r="D11" s="29">
        <f>84+81+92+140+138+142</f>
        <v>677</v>
      </c>
      <c r="E11" s="29">
        <v>4</v>
      </c>
      <c r="F11" s="29">
        <v>3</v>
      </c>
      <c r="G11" s="29">
        <f>8+6+3+25+20+20</f>
        <v>82</v>
      </c>
      <c r="H11" s="5">
        <f>G11+D11</f>
        <v>759</v>
      </c>
      <c r="I11" s="6">
        <f>IF(H11&gt;29,H11/(C11+0.1*F11)*10^(B11),"")</f>
        <v>230000</v>
      </c>
      <c r="J11" s="7">
        <f t="shared" si="3"/>
        <v>5.3617278360175931</v>
      </c>
      <c r="K11" s="8">
        <f>IF(H11&gt;29,(J11-$J$21)^2,"")</f>
        <v>8.5107416307159661E-3</v>
      </c>
    </row>
    <row r="12" spans="1:11" x14ac:dyDescent="0.25">
      <c r="A12" s="9" t="s">
        <v>329</v>
      </c>
      <c r="B12" s="29">
        <v>3</v>
      </c>
      <c r="C12" s="29">
        <v>3</v>
      </c>
      <c r="D12" s="29">
        <f>28+27+48+156+162+198</f>
        <v>619</v>
      </c>
      <c r="E12" s="29">
        <v>4</v>
      </c>
      <c r="F12" s="29">
        <v>3</v>
      </c>
      <c r="G12" s="29">
        <f>6+5+3+16+15+23</f>
        <v>68</v>
      </c>
      <c r="H12" s="10">
        <f t="shared" si="2"/>
        <v>687</v>
      </c>
      <c r="I12" s="6">
        <f t="shared" si="0"/>
        <v>208181.81818181818</v>
      </c>
      <c r="J12" s="7">
        <f t="shared" si="3"/>
        <v>5.318442797181663</v>
      </c>
      <c r="K12" s="8">
        <f t="shared" si="1"/>
        <v>1.8370744534604039E-2</v>
      </c>
    </row>
    <row r="13" spans="1:11" x14ac:dyDescent="0.25">
      <c r="A13" s="4" t="s">
        <v>330</v>
      </c>
      <c r="B13" s="29">
        <v>3</v>
      </c>
      <c r="C13" s="29">
        <v>3</v>
      </c>
      <c r="D13" s="29">
        <f>34+36+41+134+121+111</f>
        <v>477</v>
      </c>
      <c r="E13" s="29">
        <v>4</v>
      </c>
      <c r="F13" s="29">
        <v>3</v>
      </c>
      <c r="G13" s="29">
        <f>8+11+15+18+11+10</f>
        <v>73</v>
      </c>
      <c r="H13" s="10">
        <f t="shared" si="2"/>
        <v>550</v>
      </c>
      <c r="I13" s="6">
        <f t="shared" si="0"/>
        <v>166666.66666666669</v>
      </c>
      <c r="J13" s="7">
        <f t="shared" si="3"/>
        <v>5.2218487496163561</v>
      </c>
      <c r="K13" s="8">
        <f t="shared" si="1"/>
        <v>5.3885621632578262E-2</v>
      </c>
    </row>
    <row r="14" spans="1:11" x14ac:dyDescent="0.25">
      <c r="A14" s="9" t="s">
        <v>331</v>
      </c>
      <c r="B14" s="29">
        <v>3</v>
      </c>
      <c r="C14" s="29">
        <v>3</v>
      </c>
      <c r="D14" s="29">
        <f>31+34+28+190+151+162</f>
        <v>596</v>
      </c>
      <c r="E14" s="29">
        <v>4</v>
      </c>
      <c r="F14" s="29">
        <v>3</v>
      </c>
      <c r="G14" s="29">
        <f>2+2+4+17+14+10</f>
        <v>49</v>
      </c>
      <c r="H14" s="10">
        <f t="shared" si="2"/>
        <v>645</v>
      </c>
      <c r="I14" s="6">
        <f t="shared" si="0"/>
        <v>195454.54545454547</v>
      </c>
      <c r="J14" s="7">
        <f t="shared" si="3"/>
        <v>5.2910457747573805</v>
      </c>
      <c r="K14" s="8">
        <f t="shared" si="1"/>
        <v>2.6548056057610282E-2</v>
      </c>
    </row>
    <row r="15" spans="1:11" x14ac:dyDescent="0.25">
      <c r="A15" s="4" t="s">
        <v>332</v>
      </c>
      <c r="B15" s="29">
        <v>3</v>
      </c>
      <c r="C15" s="29">
        <v>3</v>
      </c>
      <c r="D15" s="29">
        <f>74+66+58+177+180+192</f>
        <v>747</v>
      </c>
      <c r="E15" s="29">
        <v>4</v>
      </c>
      <c r="F15" s="29">
        <v>3</v>
      </c>
      <c r="G15" s="29">
        <f>18+15+14+25+28+11</f>
        <v>111</v>
      </c>
      <c r="H15" s="10">
        <f t="shared" si="2"/>
        <v>858</v>
      </c>
      <c r="I15" s="6">
        <f t="shared" si="0"/>
        <v>260000</v>
      </c>
      <c r="J15" s="7">
        <f t="shared" si="3"/>
        <v>5.4149733479708182</v>
      </c>
      <c r="K15" s="8">
        <f t="shared" si="1"/>
        <v>1.5216372408240544E-3</v>
      </c>
    </row>
    <row r="16" spans="1:11" x14ac:dyDescent="0.25">
      <c r="A16" s="9" t="s">
        <v>333</v>
      </c>
      <c r="B16" s="29">
        <v>3</v>
      </c>
      <c r="C16" s="29">
        <v>3</v>
      </c>
      <c r="D16" s="29">
        <f>12+14+11+74+52+77</f>
        <v>240</v>
      </c>
      <c r="E16" s="29">
        <v>4</v>
      </c>
      <c r="F16" s="29">
        <v>3</v>
      </c>
      <c r="G16" s="29">
        <f>1+2+2+5+11+4</f>
        <v>25</v>
      </c>
      <c r="H16" s="10">
        <f t="shared" si="2"/>
        <v>265</v>
      </c>
      <c r="I16" s="6">
        <f t="shared" si="0"/>
        <v>80303.030303030318</v>
      </c>
      <c r="J16" s="7">
        <f t="shared" si="3"/>
        <v>4.9047319340589208</v>
      </c>
      <c r="K16" s="8">
        <f t="shared" si="1"/>
        <v>0.30167510421753851</v>
      </c>
    </row>
    <row r="17" spans="1:11" x14ac:dyDescent="0.25">
      <c r="A17" s="4" t="s">
        <v>334</v>
      </c>
      <c r="B17" s="29">
        <v>4</v>
      </c>
      <c r="C17" s="29">
        <v>3</v>
      </c>
      <c r="D17" s="29">
        <f>11+10+8+81+92+82</f>
        <v>284</v>
      </c>
      <c r="E17" s="29">
        <v>5</v>
      </c>
      <c r="F17" s="29">
        <v>3</v>
      </c>
      <c r="G17" s="29">
        <f>1+1+4+13+15</f>
        <v>34</v>
      </c>
      <c r="H17" s="10">
        <f t="shared" si="2"/>
        <v>318</v>
      </c>
      <c r="I17" s="6">
        <f t="shared" si="0"/>
        <v>963636.36363636376</v>
      </c>
      <c r="J17" s="7">
        <f t="shared" si="3"/>
        <v>5.983913180106545</v>
      </c>
      <c r="K17" s="8">
        <f t="shared" si="1"/>
        <v>0.28082756770123568</v>
      </c>
    </row>
    <row r="18" spans="1:11" x14ac:dyDescent="0.25">
      <c r="A18" s="9" t="s">
        <v>335</v>
      </c>
      <c r="B18" s="29">
        <v>4</v>
      </c>
      <c r="C18" s="29">
        <v>3</v>
      </c>
      <c r="D18" s="29">
        <f>13+11+17+20+16+26</f>
        <v>103</v>
      </c>
      <c r="E18" s="29">
        <v>5</v>
      </c>
      <c r="F18" s="29">
        <v>3</v>
      </c>
      <c r="G18" s="29">
        <f>1+2+3+3+6+5</f>
        <v>20</v>
      </c>
      <c r="H18" s="10">
        <f t="shared" si="2"/>
        <v>123</v>
      </c>
      <c r="I18" s="6">
        <f t="shared" si="0"/>
        <v>372727.27272727271</v>
      </c>
      <c r="J18" s="7">
        <f t="shared" si="3"/>
        <v>5.5713911715615101</v>
      </c>
      <c r="K18" s="8">
        <f t="shared" si="1"/>
        <v>1.3785027014909183E-2</v>
      </c>
    </row>
    <row r="19" spans="1:11" ht="13.8" thickBot="1" x14ac:dyDescent="0.3">
      <c r="A19" s="4" t="s">
        <v>336</v>
      </c>
      <c r="B19" s="30">
        <v>4</v>
      </c>
      <c r="C19" s="30">
        <v>3</v>
      </c>
      <c r="D19" s="30">
        <f>14+18+23+30+27+46</f>
        <v>158</v>
      </c>
      <c r="E19" s="30">
        <v>5</v>
      </c>
      <c r="F19" s="30">
        <v>3</v>
      </c>
      <c r="G19" s="30">
        <f>3+2+1+2+8+6</f>
        <v>22</v>
      </c>
      <c r="H19" s="12">
        <f t="shared" si="2"/>
        <v>180</v>
      </c>
      <c r="I19" s="27">
        <f t="shared" si="0"/>
        <v>545454.54545454541</v>
      </c>
      <c r="J19" s="13">
        <f t="shared" si="3"/>
        <v>5.7367585652254185</v>
      </c>
      <c r="K19" s="25">
        <f t="shared" si="1"/>
        <v>7.9962859076914694E-2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355730.02754820936</v>
      </c>
      <c r="J21" s="17">
        <f>AVERAGE(J9:J19)</f>
        <v>5.4539815168694483</v>
      </c>
      <c r="K21" s="18">
        <f>SUM(K9:K19)</f>
        <v>0.92265536360868106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263340.42793195957</v>
      </c>
      <c r="J22" s="31">
        <f>STDEV(J9:J19)</f>
        <v>0.30375242609873604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74.028169549524762</v>
      </c>
      <c r="J23" s="19">
        <f>J22/J21*100</f>
        <v>5.5693702877285887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0.30375242609873604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  <c r="J30" s="151"/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{81620135-17FB-416B-A3ED-D13EF4B33E63}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1620135-17FB-416B-A3ED-D13EF4B33E6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7030A0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1.44140625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313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38</v>
      </c>
      <c r="C4" s="202"/>
      <c r="D4" s="203"/>
      <c r="F4" s="201" t="s">
        <v>338</v>
      </c>
      <c r="G4" s="202"/>
      <c r="H4" s="202"/>
      <c r="I4" s="203"/>
    </row>
    <row r="5" spans="1:11" x14ac:dyDescent="0.25">
      <c r="A5" s="24" t="s">
        <v>94</v>
      </c>
      <c r="B5" s="201" t="s">
        <v>73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4" t="s">
        <v>412</v>
      </c>
      <c r="C6" s="205"/>
      <c r="D6" s="206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x14ac:dyDescent="0.25">
      <c r="A9" s="132" t="s">
        <v>319</v>
      </c>
      <c r="B9" s="32">
        <v>3</v>
      </c>
      <c r="C9" s="32">
        <v>3</v>
      </c>
      <c r="D9" s="32">
        <f>10+11+5+124+126+100</f>
        <v>376</v>
      </c>
      <c r="E9" s="32">
        <v>4</v>
      </c>
      <c r="F9" s="32">
        <v>3</v>
      </c>
      <c r="G9" s="32">
        <f>3+3+3+6+13+8</f>
        <v>36</v>
      </c>
      <c r="H9" s="5">
        <f>G9+D9</f>
        <v>412</v>
      </c>
      <c r="I9" s="33">
        <f t="shared" ref="I9:I19" si="0">IF(H9&gt;29,H9/(C9+0.1*F9)*10^(B9),"")</f>
        <v>124848.48484848486</v>
      </c>
      <c r="J9" s="7">
        <f>IF(H9&gt;29,LOG10(I9),"")</f>
        <v>5.0963832761552474</v>
      </c>
      <c r="K9" s="34">
        <f t="shared" ref="K9:K19" si="1">IF(H9&gt;29,(J9-$J$21)^2,"")</f>
        <v>6.0664844086899122E-2</v>
      </c>
    </row>
    <row r="10" spans="1:11" x14ac:dyDescent="0.25">
      <c r="A10" s="137" t="s">
        <v>320</v>
      </c>
      <c r="B10" s="29">
        <v>3</v>
      </c>
      <c r="C10" s="29">
        <v>3</v>
      </c>
      <c r="D10" s="29">
        <f>12+10+3+193+130+120</f>
        <v>468</v>
      </c>
      <c r="E10" s="29">
        <v>4</v>
      </c>
      <c r="F10" s="29">
        <v>3</v>
      </c>
      <c r="G10" s="29">
        <f>1+17+10+25</f>
        <v>53</v>
      </c>
      <c r="H10" s="5">
        <f t="shared" ref="H10:H19" si="2">G10+D10</f>
        <v>521</v>
      </c>
      <c r="I10" s="6">
        <f t="shared" si="0"/>
        <v>157878.78787878787</v>
      </c>
      <c r="J10" s="7">
        <f t="shared" ref="J10:J19" si="3">IF(H10&gt;29,LOG10(I10),"")</f>
        <v>5.1983237834216371</v>
      </c>
      <c r="K10" s="8">
        <f t="shared" si="1"/>
        <v>2.0840339569259677E-2</v>
      </c>
    </row>
    <row r="11" spans="1:11" x14ac:dyDescent="0.25">
      <c r="A11" s="132" t="s">
        <v>321</v>
      </c>
      <c r="B11" s="29">
        <v>3</v>
      </c>
      <c r="C11" s="29">
        <v>3</v>
      </c>
      <c r="D11" s="29">
        <f>4+1+11+173+140+136</f>
        <v>465</v>
      </c>
      <c r="E11" s="29">
        <v>4</v>
      </c>
      <c r="F11" s="29">
        <v>3</v>
      </c>
      <c r="G11" s="29">
        <f>6+5+1+17+16+19</f>
        <v>64</v>
      </c>
      <c r="H11" s="5">
        <f>G11+D11</f>
        <v>529</v>
      </c>
      <c r="I11" s="6">
        <f>IF(H11&gt;29,H11/(C11+0.1*F11)*10^(B11),"")</f>
        <v>160303.0303030303</v>
      </c>
      <c r="J11" s="7">
        <f t="shared" si="3"/>
        <v>5.2049417321572982</v>
      </c>
      <c r="K11" s="8">
        <f>IF(H11&gt;29,(J11-$J$21)^2,"")</f>
        <v>1.8973378360345645E-2</v>
      </c>
    </row>
    <row r="12" spans="1:11" x14ac:dyDescent="0.25">
      <c r="A12" s="137" t="s">
        <v>322</v>
      </c>
      <c r="B12" s="29">
        <v>3</v>
      </c>
      <c r="C12" s="29">
        <v>3</v>
      </c>
      <c r="D12" s="29">
        <f>10+8+9+130+140+123</f>
        <v>420</v>
      </c>
      <c r="E12" s="29">
        <v>4</v>
      </c>
      <c r="F12" s="29">
        <v>3</v>
      </c>
      <c r="G12" s="29">
        <f>1+2+3+11+30+16</f>
        <v>63</v>
      </c>
      <c r="H12" s="10">
        <f t="shared" si="2"/>
        <v>483</v>
      </c>
      <c r="I12" s="6">
        <f t="shared" si="0"/>
        <v>146363.63636363638</v>
      </c>
      <c r="J12" s="7">
        <f t="shared" si="3"/>
        <v>5.1654331908736246</v>
      </c>
      <c r="K12" s="8">
        <f t="shared" si="1"/>
        <v>3.141842327387849E-2</v>
      </c>
    </row>
    <row r="13" spans="1:11" x14ac:dyDescent="0.25">
      <c r="A13" s="132" t="s">
        <v>323</v>
      </c>
      <c r="B13" s="29">
        <v>4</v>
      </c>
      <c r="C13" s="29">
        <v>3</v>
      </c>
      <c r="D13" s="29">
        <f>3+7+6+70+58+51</f>
        <v>195</v>
      </c>
      <c r="E13" s="29">
        <v>5</v>
      </c>
      <c r="F13" s="29">
        <v>3</v>
      </c>
      <c r="G13" s="29">
        <f>1+6+8+7</f>
        <v>22</v>
      </c>
      <c r="H13" s="10">
        <f t="shared" si="2"/>
        <v>217</v>
      </c>
      <c r="I13" s="6">
        <f t="shared" si="0"/>
        <v>657575.75757575769</v>
      </c>
      <c r="J13" s="7">
        <f t="shared" si="3"/>
        <v>5.817945793970642</v>
      </c>
      <c r="K13" s="8">
        <f t="shared" si="1"/>
        <v>0.22587223392067943</v>
      </c>
    </row>
    <row r="14" spans="1:11" x14ac:dyDescent="0.25">
      <c r="A14" s="137" t="s">
        <v>324</v>
      </c>
      <c r="B14" s="29">
        <v>3</v>
      </c>
      <c r="C14" s="29">
        <v>3</v>
      </c>
      <c r="D14" s="29">
        <f>16+25+18+184+186+134</f>
        <v>563</v>
      </c>
      <c r="E14" s="29"/>
      <c r="F14" s="29"/>
      <c r="G14" s="29"/>
      <c r="H14" s="10">
        <f t="shared" si="2"/>
        <v>563</v>
      </c>
      <c r="I14" s="6">
        <f t="shared" si="0"/>
        <v>187666.66666666666</v>
      </c>
      <c r="J14" s="7">
        <f t="shared" si="3"/>
        <v>5.2733871401316836</v>
      </c>
      <c r="K14" s="8">
        <f t="shared" si="1"/>
        <v>4.8022791723610087E-3</v>
      </c>
    </row>
    <row r="15" spans="1:11" x14ac:dyDescent="0.25">
      <c r="A15" s="132" t="s">
        <v>325</v>
      </c>
      <c r="B15" s="29">
        <v>4</v>
      </c>
      <c r="C15" s="29">
        <v>3</v>
      </c>
      <c r="D15" s="29">
        <f>4+2+3+23+27+19</f>
        <v>78</v>
      </c>
      <c r="E15" s="29">
        <v>5</v>
      </c>
      <c r="F15" s="29">
        <v>3</v>
      </c>
      <c r="G15" s="29">
        <f>1+3+3+4</f>
        <v>11</v>
      </c>
      <c r="H15" s="10">
        <f t="shared" si="2"/>
        <v>89</v>
      </c>
      <c r="I15" s="6">
        <f t="shared" si="0"/>
        <v>269696.96969696973</v>
      </c>
      <c r="J15" s="7">
        <f t="shared" si="3"/>
        <v>5.4308760667670253</v>
      </c>
      <c r="K15" s="8">
        <f t="shared" si="1"/>
        <v>7.7775550787501776E-3</v>
      </c>
    </row>
    <row r="16" spans="1:11" x14ac:dyDescent="0.25">
      <c r="A16" s="137" t="s">
        <v>315</v>
      </c>
      <c r="B16" s="29">
        <v>4</v>
      </c>
      <c r="C16" s="29">
        <v>3</v>
      </c>
      <c r="D16" s="29">
        <f>1+4+3+22+13+29</f>
        <v>72</v>
      </c>
      <c r="E16" s="29">
        <v>5</v>
      </c>
      <c r="F16" s="29">
        <v>3</v>
      </c>
      <c r="G16" s="29">
        <f>1+2+2+1</f>
        <v>6</v>
      </c>
      <c r="H16" s="10">
        <f t="shared" si="2"/>
        <v>78</v>
      </c>
      <c r="I16" s="6">
        <f t="shared" si="0"/>
        <v>236363.63636363635</v>
      </c>
      <c r="J16" s="7">
        <f t="shared" si="3"/>
        <v>5.3735806628125928</v>
      </c>
      <c r="K16" s="8">
        <f t="shared" si="1"/>
        <v>9.5450373267309937E-4</v>
      </c>
    </row>
    <row r="17" spans="1:11" x14ac:dyDescent="0.25">
      <c r="A17" s="137" t="s">
        <v>316</v>
      </c>
      <c r="B17" s="29">
        <v>4</v>
      </c>
      <c r="C17" s="29">
        <v>3</v>
      </c>
      <c r="D17" s="29">
        <f>8+14+5+20+37+20</f>
        <v>104</v>
      </c>
      <c r="E17" s="29">
        <v>5</v>
      </c>
      <c r="F17" s="29">
        <v>3</v>
      </c>
      <c r="G17" s="29">
        <f>1+2+4+4+14+8</f>
        <v>33</v>
      </c>
      <c r="H17" s="10">
        <f t="shared" si="2"/>
        <v>137</v>
      </c>
      <c r="I17" s="6">
        <f t="shared" si="0"/>
        <v>415151.51515151514</v>
      </c>
      <c r="J17" s="7">
        <f t="shared" si="3"/>
        <v>5.6182066272785196</v>
      </c>
      <c r="K17" s="8">
        <f t="shared" si="1"/>
        <v>7.5911826007191402E-2</v>
      </c>
    </row>
    <row r="18" spans="1:11" x14ac:dyDescent="0.25">
      <c r="A18" s="137" t="s">
        <v>317</v>
      </c>
      <c r="B18" s="29">
        <v>3</v>
      </c>
      <c r="C18" s="29">
        <v>3</v>
      </c>
      <c r="D18" s="29">
        <f>17+8+17+155+172+168</f>
        <v>537</v>
      </c>
      <c r="E18" s="29"/>
      <c r="F18" s="29"/>
      <c r="G18" s="29"/>
      <c r="H18" s="10">
        <f t="shared" si="2"/>
        <v>537</v>
      </c>
      <c r="I18" s="6">
        <f t="shared" si="0"/>
        <v>179000</v>
      </c>
      <c r="J18" s="7">
        <f t="shared" si="3"/>
        <v>5.2528530309798933</v>
      </c>
      <c r="K18" s="8">
        <f t="shared" si="1"/>
        <v>8.0698938689623499E-3</v>
      </c>
    </row>
    <row r="19" spans="1:11" ht="13.8" thickBot="1" x14ac:dyDescent="0.3">
      <c r="A19" s="155" t="s">
        <v>318</v>
      </c>
      <c r="B19" s="30">
        <v>3</v>
      </c>
      <c r="C19" s="30">
        <v>3</v>
      </c>
      <c r="D19" s="30">
        <f>12+14+16+192+201+186</f>
        <v>621</v>
      </c>
      <c r="E19" s="30">
        <v>4</v>
      </c>
      <c r="F19" s="30">
        <v>3</v>
      </c>
      <c r="G19" s="30">
        <f>2+5+3+36+27+24</f>
        <v>97</v>
      </c>
      <c r="H19" s="12">
        <f t="shared" si="2"/>
        <v>718</v>
      </c>
      <c r="I19" s="27">
        <f t="shared" si="0"/>
        <v>217575.7575757576</v>
      </c>
      <c r="J19" s="13">
        <f t="shared" si="3"/>
        <v>5.3376105043644131</v>
      </c>
      <c r="K19" s="25">
        <f t="shared" si="1"/>
        <v>2.5756788483680859E-5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250220.38567493114</v>
      </c>
      <c r="J21" s="17">
        <f>AVERAGE(J9:J19)</f>
        <v>5.3426856189920526</v>
      </c>
      <c r="K21" s="18">
        <f>SUM(K9:K19)</f>
        <v>0.45531103385948402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157123.97828774477</v>
      </c>
      <c r="J22" s="31">
        <f>STDEV(J9:J19)</f>
        <v>0.21338018508274942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62.794235515194707</v>
      </c>
      <c r="J23" s="19">
        <f>J22/J21*100</f>
        <v>3.9938749965790721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0.21338018508274942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29" spans="1:11" x14ac:dyDescent="0.25">
      <c r="J29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{C3EECA4C-E778-462F-B393-2404B0029E04}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3EECA4C-E778-462F-B393-2404B0029E0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-0.249977111117893"/>
  </sheetPr>
  <dimension ref="A1:K42"/>
  <sheetViews>
    <sheetView zoomScale="80" zoomScaleNormal="80" workbookViewId="0">
      <selection activeCell="K8" sqref="K8"/>
    </sheetView>
  </sheetViews>
  <sheetFormatPr defaultColWidth="11.44140625" defaultRowHeight="13.2" x14ac:dyDescent="0.25"/>
  <cols>
    <col min="1" max="1" width="11" customWidth="1"/>
    <col min="9" max="9" width="10.88671875" customWidth="1"/>
    <col min="10" max="10" width="11.44140625" customWidth="1"/>
    <col min="11" max="11" width="21" customWidth="1"/>
  </cols>
  <sheetData>
    <row r="1" spans="1:11" ht="17.399999999999999" x14ac:dyDescent="0.3">
      <c r="A1" s="39" t="s">
        <v>90</v>
      </c>
    </row>
    <row r="3" spans="1:11" x14ac:dyDescent="0.25">
      <c r="A3" s="1" t="s">
        <v>91</v>
      </c>
      <c r="B3" s="201" t="s">
        <v>265</v>
      </c>
      <c r="C3" s="202"/>
      <c r="D3" s="203"/>
      <c r="F3" s="3" t="s">
        <v>116</v>
      </c>
    </row>
    <row r="4" spans="1:11" x14ac:dyDescent="0.25">
      <c r="A4" s="1" t="s">
        <v>92</v>
      </c>
      <c r="B4" s="201" t="s">
        <v>198</v>
      </c>
      <c r="C4" s="202"/>
      <c r="D4" s="203"/>
      <c r="F4" s="201" t="s">
        <v>263</v>
      </c>
      <c r="G4" s="202"/>
      <c r="H4" s="202"/>
      <c r="I4" s="203"/>
    </row>
    <row r="5" spans="1:11" x14ac:dyDescent="0.25">
      <c r="A5" s="24" t="s">
        <v>94</v>
      </c>
      <c r="B5" s="201" t="s">
        <v>39</v>
      </c>
      <c r="C5" s="202"/>
      <c r="D5" s="203"/>
      <c r="H5" s="24" t="s">
        <v>115</v>
      </c>
      <c r="I5" s="28" t="s">
        <v>117</v>
      </c>
      <c r="J5" s="2"/>
      <c r="K5" s="2"/>
    </row>
    <row r="6" spans="1:11" x14ac:dyDescent="0.25">
      <c r="A6" s="24" t="s">
        <v>93</v>
      </c>
      <c r="B6" s="201" t="s">
        <v>246</v>
      </c>
      <c r="C6" s="202"/>
      <c r="D6" s="203"/>
      <c r="E6" s="3" t="s">
        <v>11</v>
      </c>
    </row>
    <row r="7" spans="1:11" ht="13.8" thickBot="1" x14ac:dyDescent="0.3"/>
    <row r="8" spans="1:11" ht="16.2" thickBot="1" x14ac:dyDescent="0.3">
      <c r="A8" s="35" t="s">
        <v>4</v>
      </c>
      <c r="B8" s="36" t="s">
        <v>0</v>
      </c>
      <c r="C8" s="37" t="s">
        <v>12</v>
      </c>
      <c r="D8" s="36" t="s">
        <v>13</v>
      </c>
      <c r="E8" s="36" t="s">
        <v>1</v>
      </c>
      <c r="F8" s="37" t="s">
        <v>14</v>
      </c>
      <c r="G8" s="36" t="s">
        <v>15</v>
      </c>
      <c r="H8" s="36" t="s">
        <v>2</v>
      </c>
      <c r="I8" s="36" t="s">
        <v>103</v>
      </c>
      <c r="J8" s="36" t="s">
        <v>104</v>
      </c>
      <c r="K8" s="149" t="s">
        <v>415</v>
      </c>
    </row>
    <row r="9" spans="1:11" s="3" customFormat="1" x14ac:dyDescent="0.25">
      <c r="A9" s="132">
        <v>1</v>
      </c>
      <c r="B9" s="32">
        <v>2</v>
      </c>
      <c r="C9" s="32">
        <v>2</v>
      </c>
      <c r="D9" s="32">
        <v>93</v>
      </c>
      <c r="E9" s="32"/>
      <c r="F9" s="32"/>
      <c r="G9" s="32"/>
      <c r="H9" s="133">
        <f>G9+D9</f>
        <v>93</v>
      </c>
      <c r="I9" s="134">
        <f t="shared" ref="I9:I19" si="0">IF(H9&gt;29,H9/(C9+0.1*F9)*10^(B9),"")</f>
        <v>4650</v>
      </c>
      <c r="J9" s="135">
        <f>IF(H9&gt;29,LOG10(I9),"")</f>
        <v>3.667452952889954</v>
      </c>
      <c r="K9" s="136">
        <f t="shared" ref="K9:K19" si="1">IF(H9&gt;29,(J9-$J$21)^2,"")</f>
        <v>9.9021883868390097E-3</v>
      </c>
    </row>
    <row r="10" spans="1:11" s="3" customFormat="1" x14ac:dyDescent="0.25">
      <c r="A10" s="137">
        <v>2</v>
      </c>
      <c r="B10" s="29">
        <v>2</v>
      </c>
      <c r="C10" s="32">
        <v>2</v>
      </c>
      <c r="D10" s="29">
        <v>143</v>
      </c>
      <c r="E10" s="32"/>
      <c r="F10" s="32"/>
      <c r="G10" s="29"/>
      <c r="H10" s="133">
        <f t="shared" ref="H10:H19" si="2">G10+D10</f>
        <v>143</v>
      </c>
      <c r="I10" s="138">
        <f t="shared" si="0"/>
        <v>7150</v>
      </c>
      <c r="J10" s="135">
        <f t="shared" ref="J10:J19" si="3">IF(H10&gt;29,LOG10(I10),"")</f>
        <v>3.8543060418010806</v>
      </c>
      <c r="K10" s="139">
        <f t="shared" si="1"/>
        <v>7.6288605709483254E-3</v>
      </c>
    </row>
    <row r="11" spans="1:11" x14ac:dyDescent="0.25">
      <c r="A11" s="9">
        <v>3</v>
      </c>
      <c r="B11" s="29">
        <v>2</v>
      </c>
      <c r="C11" s="32">
        <v>2</v>
      </c>
      <c r="D11" s="29">
        <v>43</v>
      </c>
      <c r="E11" s="32"/>
      <c r="F11" s="32"/>
      <c r="G11" s="29"/>
      <c r="H11" s="5">
        <f>G11+D11</f>
        <v>43</v>
      </c>
      <c r="I11" s="6">
        <f>IF(H11&gt;29,H11/(C11+0.1*F11)*10^(B11),"")</f>
        <v>2150</v>
      </c>
      <c r="J11" s="7">
        <f t="shared" si="3"/>
        <v>3.3324384599156054</v>
      </c>
      <c r="K11" s="8">
        <f>IF(H11&gt;29,(J11-$J$21)^2,"")</f>
        <v>0.18881130918155395</v>
      </c>
    </row>
    <row r="12" spans="1:11" x14ac:dyDescent="0.25">
      <c r="A12" s="9">
        <v>4</v>
      </c>
      <c r="B12" s="29">
        <v>2</v>
      </c>
      <c r="C12" s="32">
        <v>2</v>
      </c>
      <c r="D12" s="29">
        <v>58</v>
      </c>
      <c r="E12" s="32"/>
      <c r="F12" s="32"/>
      <c r="G12" s="29"/>
      <c r="H12" s="10">
        <f t="shared" si="2"/>
        <v>58</v>
      </c>
      <c r="I12" s="6">
        <f t="shared" si="0"/>
        <v>2900</v>
      </c>
      <c r="J12" s="7">
        <f t="shared" si="3"/>
        <v>3.4623979978989561</v>
      </c>
      <c r="K12" s="8">
        <f t="shared" si="1"/>
        <v>9.2759653532812944E-2</v>
      </c>
    </row>
    <row r="13" spans="1:11" x14ac:dyDescent="0.25">
      <c r="A13" s="9">
        <v>5</v>
      </c>
      <c r="B13" s="29">
        <v>2</v>
      </c>
      <c r="C13" s="32">
        <v>2</v>
      </c>
      <c r="D13" s="29">
        <v>38</v>
      </c>
      <c r="E13" s="32"/>
      <c r="F13" s="32"/>
      <c r="G13" s="29"/>
      <c r="H13" s="10">
        <f t="shared" si="2"/>
        <v>38</v>
      </c>
      <c r="I13" s="6">
        <f t="shared" si="0"/>
        <v>1900</v>
      </c>
      <c r="J13" s="7">
        <f t="shared" si="3"/>
        <v>3.2787536009528289</v>
      </c>
      <c r="K13" s="8">
        <f t="shared" si="1"/>
        <v>0.23834811760692862</v>
      </c>
    </row>
    <row r="14" spans="1:11" s="3" customFormat="1" x14ac:dyDescent="0.25">
      <c r="A14" s="137">
        <v>6</v>
      </c>
      <c r="B14" s="29">
        <v>2</v>
      </c>
      <c r="C14" s="32">
        <v>2</v>
      </c>
      <c r="D14" s="29">
        <v>49</v>
      </c>
      <c r="E14" s="32"/>
      <c r="F14" s="32"/>
      <c r="G14" s="29"/>
      <c r="H14" s="140">
        <f t="shared" si="2"/>
        <v>49</v>
      </c>
      <c r="I14" s="138">
        <f t="shared" si="0"/>
        <v>2450</v>
      </c>
      <c r="J14" s="135">
        <f t="shared" si="3"/>
        <v>3.3891660843645326</v>
      </c>
      <c r="K14" s="139">
        <f t="shared" si="1"/>
        <v>0.1427302775346925</v>
      </c>
    </row>
    <row r="15" spans="1:11" s="3" customFormat="1" x14ac:dyDescent="0.25">
      <c r="A15" s="137">
        <v>7</v>
      </c>
      <c r="B15" s="29">
        <v>2</v>
      </c>
      <c r="C15" s="32">
        <v>2</v>
      </c>
      <c r="D15" s="29">
        <v>59</v>
      </c>
      <c r="E15" s="32"/>
      <c r="F15" s="32"/>
      <c r="G15" s="29"/>
      <c r="H15" s="140">
        <f t="shared" si="2"/>
        <v>59</v>
      </c>
      <c r="I15" s="138">
        <f t="shared" si="0"/>
        <v>2950</v>
      </c>
      <c r="J15" s="135">
        <f t="shared" si="3"/>
        <v>3.469822015978163</v>
      </c>
      <c r="K15" s="139">
        <f t="shared" si="1"/>
        <v>8.8292581971065473E-2</v>
      </c>
    </row>
    <row r="16" spans="1:11" x14ac:dyDescent="0.25">
      <c r="A16" s="9">
        <v>8</v>
      </c>
      <c r="B16" s="29">
        <v>2</v>
      </c>
      <c r="C16" s="32">
        <v>2</v>
      </c>
      <c r="D16" s="29">
        <v>107</v>
      </c>
      <c r="E16" s="32"/>
      <c r="F16" s="32"/>
      <c r="G16" s="29"/>
      <c r="H16" s="10">
        <f t="shared" si="2"/>
        <v>107</v>
      </c>
      <c r="I16" s="6">
        <f t="shared" si="0"/>
        <v>5350</v>
      </c>
      <c r="J16" s="7">
        <f t="shared" si="3"/>
        <v>3.7283537820212285</v>
      </c>
      <c r="K16" s="8">
        <f t="shared" si="1"/>
        <v>1.4906480108738192E-3</v>
      </c>
    </row>
    <row r="17" spans="1:11" x14ac:dyDescent="0.25">
      <c r="A17" s="9">
        <v>9</v>
      </c>
      <c r="B17" s="29">
        <v>2</v>
      </c>
      <c r="C17" s="32">
        <v>2</v>
      </c>
      <c r="D17" s="29">
        <v>244</v>
      </c>
      <c r="E17" s="32"/>
      <c r="F17" s="32"/>
      <c r="G17" s="29"/>
      <c r="H17" s="10">
        <f>G17+D17</f>
        <v>244</v>
      </c>
      <c r="I17" s="6">
        <f>IF(H17&gt;29,H17/(C17+0.1*F17)*10^(B17),"")</f>
        <v>12200</v>
      </c>
      <c r="J17" s="7">
        <f t="shared" si="3"/>
        <v>4.0863598306747484</v>
      </c>
      <c r="K17" s="8">
        <f t="shared" si="1"/>
        <v>0.10201453152250008</v>
      </c>
    </row>
    <row r="18" spans="1:11" x14ac:dyDescent="0.25">
      <c r="A18" s="9">
        <v>10</v>
      </c>
      <c r="B18" s="29">
        <v>3</v>
      </c>
      <c r="C18" s="32">
        <v>2</v>
      </c>
      <c r="D18" s="29">
        <v>53</v>
      </c>
      <c r="E18" s="32"/>
      <c r="F18" s="32"/>
      <c r="G18" s="29"/>
      <c r="H18" s="10">
        <f t="shared" si="2"/>
        <v>53</v>
      </c>
      <c r="I18" s="6">
        <f t="shared" si="0"/>
        <v>26500</v>
      </c>
      <c r="J18" s="7">
        <f t="shared" si="3"/>
        <v>4.4232458739368079</v>
      </c>
      <c r="K18" s="8">
        <f t="shared" si="1"/>
        <v>0.4307076135141209</v>
      </c>
    </row>
    <row r="19" spans="1:11" ht="13.8" thickBot="1" x14ac:dyDescent="0.3">
      <c r="A19" s="11">
        <v>11</v>
      </c>
      <c r="B19" s="30">
        <v>3</v>
      </c>
      <c r="C19" s="30">
        <v>2</v>
      </c>
      <c r="D19" s="30">
        <v>111</v>
      </c>
      <c r="E19" s="30"/>
      <c r="F19" s="30"/>
      <c r="G19" s="30"/>
      <c r="H19" s="12">
        <f t="shared" si="2"/>
        <v>111</v>
      </c>
      <c r="I19" s="27">
        <f t="shared" si="0"/>
        <v>55500</v>
      </c>
      <c r="J19" s="13">
        <f t="shared" si="3"/>
        <v>4.7442929831226763</v>
      </c>
      <c r="K19" s="25">
        <f t="shared" si="1"/>
        <v>0.95517449589237158</v>
      </c>
    </row>
    <row r="20" spans="1:11" x14ac:dyDescent="0.25">
      <c r="A20" s="14"/>
      <c r="B20" s="14"/>
      <c r="C20" s="14"/>
      <c r="D20" s="14"/>
      <c r="E20" s="14"/>
      <c r="F20" s="14"/>
      <c r="G20" s="14"/>
      <c r="H20" s="14"/>
      <c r="J20" s="14"/>
      <c r="K20" s="20" t="s">
        <v>106</v>
      </c>
    </row>
    <row r="21" spans="1:11" ht="13.8" thickBot="1" x14ac:dyDescent="0.3">
      <c r="A21" s="15" t="s">
        <v>95</v>
      </c>
      <c r="B21" s="14"/>
      <c r="C21" s="14"/>
      <c r="D21" s="14"/>
      <c r="E21" s="14"/>
      <c r="H21" s="22" t="s">
        <v>105</v>
      </c>
      <c r="I21" s="16">
        <f>AVERAGE(I9:I19)</f>
        <v>11245.454545454546</v>
      </c>
      <c r="J21" s="17">
        <f>AVERAGE(J9:J19)</f>
        <v>3.7669626930505986</v>
      </c>
      <c r="K21" s="18">
        <f>SUM(K9:K19)</f>
        <v>2.2578602777247072</v>
      </c>
    </row>
    <row r="22" spans="1:11" ht="13.8" thickBot="1" x14ac:dyDescent="0.3">
      <c r="A22" s="200"/>
      <c r="B22" s="200"/>
      <c r="C22" s="200"/>
      <c r="D22" s="200"/>
      <c r="E22" s="200"/>
      <c r="F22" s="200"/>
      <c r="G22" s="200"/>
      <c r="H22" s="23" t="s">
        <v>5</v>
      </c>
      <c r="I22" s="16">
        <f>STDEV(I9:I19)</f>
        <v>16349.288280311388</v>
      </c>
      <c r="J22" s="31">
        <f>STDEV(J9:J19)</f>
        <v>0.47516947268576293</v>
      </c>
      <c r="K22" s="14"/>
    </row>
    <row r="23" spans="1:11" ht="15.6" x14ac:dyDescent="0.35">
      <c r="A23" s="200"/>
      <c r="B23" s="200"/>
      <c r="C23" s="200"/>
      <c r="D23" s="200"/>
      <c r="E23" s="200"/>
      <c r="F23" s="200"/>
      <c r="G23" s="200"/>
      <c r="H23" s="23" t="s">
        <v>6</v>
      </c>
      <c r="I23" s="19">
        <f>I22/I21*100</f>
        <v>145.38574865272858</v>
      </c>
      <c r="J23" s="19">
        <f>J22/J21*100</f>
        <v>12.614127386033561</v>
      </c>
      <c r="K23" s="80" t="s">
        <v>107</v>
      </c>
    </row>
    <row r="24" spans="1:11" ht="13.8" thickBot="1" x14ac:dyDescent="0.3">
      <c r="A24" s="200"/>
      <c r="B24" s="200"/>
      <c r="C24" s="200"/>
      <c r="D24" s="200"/>
      <c r="E24" s="200"/>
      <c r="F24" s="200"/>
      <c r="G24" s="200"/>
      <c r="H24" s="14"/>
      <c r="J24" s="14"/>
      <c r="K24" s="21">
        <f>(K21/J26)^0.5</f>
        <v>0.47516947268576792</v>
      </c>
    </row>
    <row r="25" spans="1:11" x14ac:dyDescent="0.25">
      <c r="A25" s="200"/>
      <c r="B25" s="200"/>
      <c r="C25" s="200"/>
      <c r="D25" s="200"/>
      <c r="E25" s="200"/>
      <c r="F25" s="200"/>
      <c r="G25" s="200"/>
      <c r="I25" s="26" t="s">
        <v>7</v>
      </c>
      <c r="J25" s="14">
        <f>COUNT(J9:J19)</f>
        <v>11</v>
      </c>
    </row>
    <row r="26" spans="1:11" x14ac:dyDescent="0.25">
      <c r="A26" s="200"/>
      <c r="B26" s="200"/>
      <c r="C26" s="200"/>
      <c r="D26" s="200"/>
      <c r="E26" s="200"/>
      <c r="F26" s="200"/>
      <c r="G26" s="200"/>
      <c r="I26" s="22" t="s">
        <v>109</v>
      </c>
      <c r="J26" s="15">
        <f>J25-1</f>
        <v>10</v>
      </c>
    </row>
    <row r="27" spans="1:11" x14ac:dyDescent="0.25">
      <c r="A27" s="200"/>
      <c r="B27" s="200"/>
      <c r="C27" s="200"/>
      <c r="D27" s="200"/>
      <c r="E27" s="200"/>
      <c r="F27" s="200"/>
      <c r="G27" s="200"/>
    </row>
    <row r="28" spans="1:11" x14ac:dyDescent="0.25">
      <c r="A28" s="200"/>
      <c r="B28" s="200"/>
      <c r="C28" s="200"/>
      <c r="D28" s="200"/>
      <c r="E28" s="200"/>
      <c r="F28" s="200"/>
      <c r="G28" s="200"/>
      <c r="I28" s="152"/>
      <c r="J28" s="151"/>
      <c r="K28" s="151"/>
    </row>
    <row r="30" spans="1:11" x14ac:dyDescent="0.25">
      <c r="A30" t="s">
        <v>102</v>
      </c>
    </row>
    <row r="31" spans="1:11" ht="15.6" x14ac:dyDescent="0.25">
      <c r="A31" t="s">
        <v>3</v>
      </c>
      <c r="B31" t="s">
        <v>96</v>
      </c>
    </row>
    <row r="32" spans="1:11" x14ac:dyDescent="0.25">
      <c r="A32" s="3" t="s">
        <v>16</v>
      </c>
      <c r="B32" t="s">
        <v>97</v>
      </c>
    </row>
    <row r="33" spans="1:2" x14ac:dyDescent="0.25">
      <c r="A33" s="87" t="s">
        <v>17</v>
      </c>
      <c r="B33" s="146" t="s">
        <v>98</v>
      </c>
    </row>
    <row r="34" spans="1:2" x14ac:dyDescent="0.25">
      <c r="A34" t="s">
        <v>2</v>
      </c>
      <c r="B34" s="3" t="s">
        <v>99</v>
      </c>
    </row>
    <row r="35" spans="1:2" x14ac:dyDescent="0.25">
      <c r="A35" t="s">
        <v>103</v>
      </c>
      <c r="B35" s="3" t="s">
        <v>100</v>
      </c>
    </row>
    <row r="36" spans="1:2" ht="15.6" x14ac:dyDescent="0.35">
      <c r="A36" t="s">
        <v>104</v>
      </c>
      <c r="B36" t="s">
        <v>101</v>
      </c>
    </row>
    <row r="40" spans="1:2" x14ac:dyDescent="0.25">
      <c r="A40" s="3"/>
    </row>
    <row r="41" spans="1:2" x14ac:dyDescent="0.25">
      <c r="A41" s="3"/>
    </row>
    <row r="42" spans="1:2" x14ac:dyDescent="0.25">
      <c r="A42" s="3"/>
    </row>
  </sheetData>
  <sheetProtection selectLockedCells="1"/>
  <customSheetViews>
    <customSheetView guid="{FE58DACD-0759-49AE-B802-24C56E0F01FD}" scale="90">
      <selection activeCell="I28" sqref="I28:K28"/>
      <colBreaks count="1" manualBreakCount="1">
        <brk id="11" max="1048575" man="1"/>
      </colBreaks>
      <pageMargins left="0.78740157499999996" right="0.78740157499999996" top="0.984251969" bottom="0.984251969" header="0.4921259845" footer="0.4921259845"/>
      <pageSetup paperSize="9" scale="61" orientation="landscape" r:id="rId1"/>
      <headerFooter alignWithMargins="0"/>
    </customSheetView>
  </customSheetViews>
  <mergeCells count="6">
    <mergeCell ref="A22:G28"/>
    <mergeCell ref="B3:D3"/>
    <mergeCell ref="B4:D4"/>
    <mergeCell ref="F4:I4"/>
    <mergeCell ref="B5:D5"/>
    <mergeCell ref="B6:D6"/>
  </mergeCells>
  <conditionalFormatting sqref="I9:I19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{F88DD05B-23C4-4189-B7FE-17BF9987E279}</x14:id>
        </ext>
      </extLst>
    </cfRule>
  </conditionalFormatting>
  <pageMargins left="0.78740157499999996" right="0.78740157499999996" top="0.984251969" bottom="0.984251969" header="0.4921259845" footer="0.4921259845"/>
  <pageSetup paperSize="9" scale="61" orientation="landscape" r:id="rId2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88DD05B-23C4-4189-B7FE-17BF9987E27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I9:I19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48</vt:i4>
      </vt:variant>
      <vt:variant>
        <vt:lpstr>Named Ranges</vt:lpstr>
      </vt:variant>
      <vt:variant>
        <vt:i4>19</vt:i4>
      </vt:variant>
    </vt:vector>
  </HeadingPairs>
  <TitlesOfParts>
    <vt:vector size="67" baseType="lpstr">
      <vt:lpstr>instructions</vt:lpstr>
      <vt:lpstr>statistics</vt:lpstr>
      <vt:lpstr>11x1 SoyExMeal9B</vt:lpstr>
      <vt:lpstr>11x1 SoyExMeal8B</vt:lpstr>
      <vt:lpstr>11x1 SoyExMeal7B</vt:lpstr>
      <vt:lpstr>11x1 SoyExMeal6B </vt:lpstr>
      <vt:lpstr>11x1 SoyExMeal5 B</vt:lpstr>
      <vt:lpstr>11x1 SoyExMeal4 B</vt:lpstr>
      <vt:lpstr>11x1 SoyExMeal3 B</vt:lpstr>
      <vt:lpstr>11x1 SoyExMeal2 B</vt:lpstr>
      <vt:lpstr>11x1 SoyExMeal1 B</vt:lpstr>
      <vt:lpstr>11x1 grass silage</vt:lpstr>
      <vt:lpstr>11x1 brewers grain B</vt:lpstr>
      <vt:lpstr>11x1 brewers grain Y</vt:lpstr>
      <vt:lpstr>11x1 PelCompoundChick B</vt:lpstr>
      <vt:lpstr>11x1 grain meal1 B</vt:lpstr>
      <vt:lpstr>11x1 grain meal1 Y</vt:lpstr>
      <vt:lpstr>10x2 maize silage Y</vt:lpstr>
      <vt:lpstr>10x2 maize silage B</vt:lpstr>
      <vt:lpstr>11x1 BARF1 E</vt:lpstr>
      <vt:lpstr>11x1 BARF2 E</vt:lpstr>
      <vt:lpstr>10x2 hay1 B</vt:lpstr>
      <vt:lpstr>10x2 hay1 Y</vt:lpstr>
      <vt:lpstr>10x2 hay1 M</vt:lpstr>
      <vt:lpstr>10x2 hay2 B</vt:lpstr>
      <vt:lpstr>10x2 hay2 F</vt:lpstr>
      <vt:lpstr>11x1 grain flour B</vt:lpstr>
      <vt:lpstr>11x1 grain flour F</vt:lpstr>
      <vt:lpstr>11x1 chew toy1 B</vt:lpstr>
      <vt:lpstr>11x1 chew toy2 B</vt:lpstr>
      <vt:lpstr>11x1 straw B</vt:lpstr>
      <vt:lpstr>11x1 complete feed pigs B</vt:lpstr>
      <vt:lpstr>11x1 grain meal2 B</vt:lpstr>
      <vt:lpstr>11x1 grain meal2 M</vt:lpstr>
      <vt:lpstr>10x2 rye B</vt:lpstr>
      <vt:lpstr>10x2 oats B</vt:lpstr>
      <vt:lpstr>10x2 oats F</vt:lpstr>
      <vt:lpstr>10x2 barley B</vt:lpstr>
      <vt:lpstr>10x2 barley Y</vt:lpstr>
      <vt:lpstr>10x2 barley M</vt:lpstr>
      <vt:lpstr>11x1 malt sprouts B</vt:lpstr>
      <vt:lpstr>11x1 RapeExMeal B</vt:lpstr>
      <vt:lpstr>11x1 liquid feed B</vt:lpstr>
      <vt:lpstr>10x2 wheat B</vt:lpstr>
      <vt:lpstr>10x2 wheat M</vt:lpstr>
      <vt:lpstr>10x2 wheat Y</vt:lpstr>
      <vt:lpstr>10x2 sunflower F</vt:lpstr>
      <vt:lpstr>10x2 sunflower B</vt:lpstr>
      <vt:lpstr>'10x2 barley B'!Print_Area</vt:lpstr>
      <vt:lpstr>'10x2 barley M'!Print_Area</vt:lpstr>
      <vt:lpstr>'10x2 barley Y'!Print_Area</vt:lpstr>
      <vt:lpstr>'10x2 hay1 B'!Print_Area</vt:lpstr>
      <vt:lpstr>'10x2 hay1 M'!Print_Area</vt:lpstr>
      <vt:lpstr>'10x2 hay1 Y'!Print_Area</vt:lpstr>
      <vt:lpstr>'10x2 hay2 B'!Print_Area</vt:lpstr>
      <vt:lpstr>'10x2 hay2 F'!Print_Area</vt:lpstr>
      <vt:lpstr>'10x2 maize silage B'!Print_Area</vt:lpstr>
      <vt:lpstr>'10x2 maize silage Y'!Print_Area</vt:lpstr>
      <vt:lpstr>'10x2 oats B'!Print_Area</vt:lpstr>
      <vt:lpstr>'10x2 oats F'!Print_Area</vt:lpstr>
      <vt:lpstr>'10x2 rye B'!Print_Area</vt:lpstr>
      <vt:lpstr>'10x2 sunflower B'!Print_Area</vt:lpstr>
      <vt:lpstr>'10x2 sunflower F'!Print_Area</vt:lpstr>
      <vt:lpstr>'10x2 wheat B'!Print_Area</vt:lpstr>
      <vt:lpstr>'10x2 wheat M'!Print_Area</vt:lpstr>
      <vt:lpstr>'10x2 wheat Y'!Print_Area</vt:lpstr>
      <vt:lpstr>instructions!Print_Area</vt:lpstr>
    </vt:vector>
  </TitlesOfParts>
  <Company>Speyer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b.pickel</dc:creator>
  <cp:lastModifiedBy>Marijn van der Gaag</cp:lastModifiedBy>
  <cp:lastPrinted>2024-02-02T08:19:37Z</cp:lastPrinted>
  <dcterms:created xsi:type="dcterms:W3CDTF">2020-05-14T15:09:59Z</dcterms:created>
  <dcterms:modified xsi:type="dcterms:W3CDTF">2024-03-12T13:18:21Z</dcterms:modified>
</cp:coreProperties>
</file>